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24226"/>
  <mc:AlternateContent xmlns:mc="http://schemas.openxmlformats.org/markup-compatibility/2006">
    <mc:Choice Requires="x15">
      <x15ac:absPath xmlns:x15ac="http://schemas.microsoft.com/office/spreadsheetml/2010/11/ac" url="\\Nas\incorso\LAVORI\GENOVA\LICEO KING_Città Metropolitana\PROGETTO DEFINITIVO\CME\"/>
    </mc:Choice>
  </mc:AlternateContent>
  <xr:revisionPtr revIDLastSave="0" documentId="13_ncr:1_{53EFA5FF-F649-4A16-9318-A6522E180000}" xr6:coauthVersionLast="47" xr6:coauthVersionMax="47" xr10:uidLastSave="{00000000-0000-0000-0000-000000000000}"/>
  <bookViews>
    <workbookView xWindow="-120" yWindow="-120" windowWidth="29040" windowHeight="15840" xr2:uid="{00000000-000D-0000-FFFF-FFFF00000000}"/>
  </bookViews>
  <sheets>
    <sheet name="CME" sheetId="1" r:id="rId1"/>
    <sheet name="QR" sheetId="12" r:id="rId2"/>
    <sheet name="Abaco finestre" sheetId="3" r:id="rId3"/>
    <sheet name="PREZZI UNITARI" sheetId="13" r:id="rId4"/>
  </sheets>
  <definedNames>
    <definedName name="_xlnm.Print_Area" localSheetId="0">CME!$A$1:$I$238</definedName>
    <definedName name="_xlnm.Print_Area" localSheetId="3">'PREZZI UNITARI'!$A$1:$E$55</definedName>
    <definedName name="_xlnm.Print_Area" localSheetId="1">QR!$A$1:$G$24</definedName>
    <definedName name="Print_Area" localSheetId="3">'PREZZI UNITARI'!$B$39:$E$55</definedName>
    <definedName name="Print_Area">CME!$B$34:$G$234</definedName>
    <definedName name="_xlnm.Print_Titles" localSheetId="0">CME!$1:$4</definedName>
    <definedName name="_xlnm.Print_Titles" localSheetId="3">'PREZZI UNITARI'!$1:$4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1" i="1" l="1"/>
  <c r="E31" i="1"/>
  <c r="G31" i="1" s="1"/>
  <c r="I31" i="1" s="1"/>
  <c r="E27" i="1"/>
  <c r="G27" i="1" s="1"/>
  <c r="I27" i="1" s="1"/>
  <c r="G25" i="1"/>
  <c r="I25" i="1" s="1"/>
  <c r="E33" i="1" l="1"/>
  <c r="G33" i="1" s="1"/>
  <c r="I33" i="1" s="1"/>
  <c r="E69" i="1" l="1"/>
  <c r="E179" i="1" l="1"/>
  <c r="G179" i="1" s="1"/>
  <c r="I179" i="1" l="1"/>
  <c r="I181" i="1" s="1"/>
  <c r="G181" i="1"/>
  <c r="G236" i="1" s="1"/>
  <c r="E56" i="1"/>
  <c r="E54" i="1"/>
  <c r="E52" i="1"/>
  <c r="G56" i="1" l="1"/>
  <c r="I56" i="1" s="1"/>
  <c r="G54" i="1"/>
  <c r="I54" i="1" s="1"/>
  <c r="G52" i="1"/>
  <c r="I52" i="1" s="1"/>
  <c r="E19" i="1"/>
  <c r="G50" i="1"/>
  <c r="I50" i="1" s="1"/>
  <c r="G49" i="1"/>
  <c r="E221" i="1"/>
  <c r="E222" i="1"/>
  <c r="E223" i="1"/>
  <c r="E224" i="1"/>
  <c r="E225" i="1"/>
  <c r="E226" i="1"/>
  <c r="E227" i="1"/>
  <c r="E220" i="1"/>
  <c r="E138" i="1"/>
  <c r="E137" i="1"/>
  <c r="E136" i="1"/>
  <c r="E135" i="1"/>
  <c r="E134" i="1"/>
  <c r="E133" i="1"/>
  <c r="E132" i="1"/>
  <c r="E131" i="1"/>
  <c r="E164" i="1"/>
  <c r="E159" i="1"/>
  <c r="E167" i="1" s="1"/>
  <c r="E155" i="1"/>
  <c r="E193" i="1" s="1"/>
  <c r="E156" i="1"/>
  <c r="E194" i="1" s="1"/>
  <c r="E154" i="1"/>
  <c r="E192" i="1" s="1"/>
  <c r="E153" i="1"/>
  <c r="E152" i="1"/>
  <c r="E151" i="1"/>
  <c r="E150" i="1"/>
  <c r="E149" i="1"/>
  <c r="P33" i="3"/>
  <c r="L33" i="3"/>
  <c r="P29" i="3"/>
  <c r="L31" i="3"/>
  <c r="W34" i="3"/>
  <c r="W32" i="3"/>
  <c r="W30" i="3"/>
  <c r="L27" i="3"/>
  <c r="T23" i="3"/>
  <c r="L23" i="3"/>
  <c r="T21" i="3"/>
  <c r="L21" i="3"/>
  <c r="W33" i="3"/>
  <c r="T33" i="3"/>
  <c r="S33" i="3"/>
  <c r="Z33" i="3" s="1"/>
  <c r="O33" i="3"/>
  <c r="K33" i="3"/>
  <c r="E33" i="3"/>
  <c r="W31" i="3"/>
  <c r="T31" i="3"/>
  <c r="S31" i="3"/>
  <c r="K31" i="3"/>
  <c r="E31" i="3"/>
  <c r="W29" i="3"/>
  <c r="T29" i="3"/>
  <c r="S29" i="3"/>
  <c r="O29" i="3"/>
  <c r="Y29" i="3" s="1"/>
  <c r="E29" i="3"/>
  <c r="W27" i="3"/>
  <c r="T27" i="3"/>
  <c r="S27" i="3"/>
  <c r="Z27" i="3" s="1"/>
  <c r="K27" i="3"/>
  <c r="Y27" i="3" s="1"/>
  <c r="E27" i="3"/>
  <c r="W25" i="3"/>
  <c r="T25" i="3"/>
  <c r="S25" i="3"/>
  <c r="P25" i="3"/>
  <c r="O25" i="3"/>
  <c r="L25" i="3"/>
  <c r="K25" i="3"/>
  <c r="Y25" i="3" s="1"/>
  <c r="E25" i="3"/>
  <c r="W23" i="3"/>
  <c r="S23" i="3"/>
  <c r="Z23" i="3" s="1"/>
  <c r="P23" i="3"/>
  <c r="O23" i="3"/>
  <c r="K23" i="3"/>
  <c r="E23" i="3"/>
  <c r="W21" i="3"/>
  <c r="S21" i="3"/>
  <c r="P21" i="3"/>
  <c r="O21" i="3"/>
  <c r="K21" i="3"/>
  <c r="Y21" i="3" s="1"/>
  <c r="E21" i="3"/>
  <c r="T19" i="3"/>
  <c r="P19" i="3"/>
  <c r="L19" i="3"/>
  <c r="W19" i="3"/>
  <c r="S19" i="3"/>
  <c r="Z19" i="3" s="1"/>
  <c r="O19" i="3"/>
  <c r="K19" i="3"/>
  <c r="Y19" i="3" s="1"/>
  <c r="E19" i="3"/>
  <c r="E90" i="1"/>
  <c r="G90" i="1" s="1"/>
  <c r="E93" i="1"/>
  <c r="G93" i="1" s="1"/>
  <c r="Z25" i="3" l="1"/>
  <c r="Y23" i="3"/>
  <c r="Z29" i="3"/>
  <c r="Y31" i="3"/>
  <c r="Z31" i="3"/>
  <c r="Y33" i="3"/>
  <c r="Z21" i="3"/>
  <c r="I49" i="1"/>
  <c r="I58" i="1" s="1"/>
  <c r="F12" i="12" s="1"/>
  <c r="G58" i="1"/>
  <c r="D12" i="12" s="1"/>
  <c r="I93" i="1"/>
  <c r="I90" i="1"/>
  <c r="E157" i="1"/>
  <c r="E173" i="1" s="1"/>
  <c r="E187" i="1"/>
  <c r="G12" i="12" l="1"/>
  <c r="H58" i="1"/>
  <c r="E166" i="1"/>
  <c r="E172" i="1"/>
  <c r="E171" i="1"/>
  <c r="G41" i="1"/>
  <c r="I41" i="1" s="1"/>
  <c r="E86" i="1" l="1"/>
  <c r="E91" i="1" s="1"/>
  <c r="G91" i="1" s="1"/>
  <c r="E108" i="1"/>
  <c r="I91" i="1" l="1"/>
  <c r="E228" i="1" l="1"/>
  <c r="G228" i="1" s="1"/>
  <c r="E190" i="1"/>
  <c r="E188" i="1"/>
  <c r="G166" i="1"/>
  <c r="E191" i="1"/>
  <c r="E189" i="1"/>
  <c r="E112" i="1"/>
  <c r="E113" i="1"/>
  <c r="E114" i="1"/>
  <c r="E115" i="1"/>
  <c r="E109" i="1"/>
  <c r="G109" i="1" s="1"/>
  <c r="E72" i="1"/>
  <c r="G67" i="1"/>
  <c r="G69" i="1"/>
  <c r="F8" i="3"/>
  <c r="F9" i="3"/>
  <c r="F10" i="3"/>
  <c r="F11" i="3"/>
  <c r="F12" i="3"/>
  <c r="F14" i="3"/>
  <c r="F6" i="3"/>
  <c r="F4" i="3"/>
  <c r="F5" i="3"/>
  <c r="F7" i="3"/>
  <c r="F13" i="3"/>
  <c r="G141" i="1"/>
  <c r="G128" i="1"/>
  <c r="I128" i="1" s="1"/>
  <c r="G127" i="1"/>
  <c r="E96" i="1"/>
  <c r="G96" i="1" s="1"/>
  <c r="G39" i="1"/>
  <c r="I39" i="1" s="1"/>
  <c r="G37" i="1"/>
  <c r="I37" i="1" s="1"/>
  <c r="G36" i="1"/>
  <c r="G23" i="1"/>
  <c r="I23" i="1" s="1"/>
  <c r="G17" i="1"/>
  <c r="G21" i="1"/>
  <c r="I21" i="1" s="1"/>
  <c r="G19" i="1"/>
  <c r="I19" i="1" s="1"/>
  <c r="I127" i="1" l="1"/>
  <c r="I36" i="1"/>
  <c r="I96" i="1"/>
  <c r="I67" i="1"/>
  <c r="I166" i="1"/>
  <c r="I69" i="1"/>
  <c r="I109" i="1"/>
  <c r="I141" i="1"/>
  <c r="G167" i="1"/>
  <c r="G164" i="1"/>
  <c r="E116" i="1"/>
  <c r="E117" i="1" s="1"/>
  <c r="G117" i="1" s="1"/>
  <c r="E139" i="1"/>
  <c r="E206" i="1"/>
  <c r="G206" i="1" s="1"/>
  <c r="E217" i="1"/>
  <c r="G217" i="1" s="1"/>
  <c r="I228" i="1"/>
  <c r="E195" i="1"/>
  <c r="G195" i="1" s="1"/>
  <c r="G159" i="1"/>
  <c r="G108" i="1"/>
  <c r="G86" i="1"/>
  <c r="E97" i="1"/>
  <c r="G97" i="1" s="1"/>
  <c r="E98" i="1"/>
  <c r="G98" i="1" s="1"/>
  <c r="I17" i="1"/>
  <c r="G100" i="1" l="1"/>
  <c r="G230" i="1"/>
  <c r="D8" i="12" s="1"/>
  <c r="I98" i="1"/>
  <c r="I159" i="1"/>
  <c r="I195" i="1"/>
  <c r="I217" i="1"/>
  <c r="I86" i="1"/>
  <c r="I206" i="1"/>
  <c r="I164" i="1"/>
  <c r="I97" i="1"/>
  <c r="I108" i="1"/>
  <c r="I117" i="1"/>
  <c r="I167" i="1"/>
  <c r="E143" i="1"/>
  <c r="G143" i="1" s="1"/>
  <c r="G139" i="1"/>
  <c r="E73" i="1"/>
  <c r="E74" i="1" s="1"/>
  <c r="G74" i="1" s="1"/>
  <c r="G171" i="1"/>
  <c r="G157" i="1"/>
  <c r="G173" i="1"/>
  <c r="G172" i="1"/>
  <c r="G116" i="1"/>
  <c r="G119" i="1" s="1"/>
  <c r="D15" i="12" s="1"/>
  <c r="G121" i="1" l="1"/>
  <c r="G145" i="1"/>
  <c r="D9" i="12" s="1"/>
  <c r="I100" i="1"/>
  <c r="G175" i="1"/>
  <c r="D13" i="12" s="1"/>
  <c r="I230" i="1"/>
  <c r="I157" i="1"/>
  <c r="I139" i="1"/>
  <c r="I74" i="1"/>
  <c r="I116" i="1"/>
  <c r="I119" i="1" s="1"/>
  <c r="F15" i="12" s="1"/>
  <c r="G15" i="12" s="1"/>
  <c r="I171" i="1"/>
  <c r="I143" i="1"/>
  <c r="I172" i="1"/>
  <c r="I173" i="1"/>
  <c r="G43" i="1"/>
  <c r="D11" i="12" s="1"/>
  <c r="G73" i="1"/>
  <c r="G76" i="1" s="1"/>
  <c r="D14" i="12" s="1"/>
  <c r="F8" i="12" l="1"/>
  <c r="G8" i="12" s="1"/>
  <c r="F13" i="12"/>
  <c r="G13" i="12" s="1"/>
  <c r="D10" i="12"/>
  <c r="D7" i="12"/>
  <c r="H230" i="1"/>
  <c r="H119" i="1"/>
  <c r="I121" i="1"/>
  <c r="H121" i="1" s="1"/>
  <c r="G60" i="1"/>
  <c r="H100" i="1"/>
  <c r="I145" i="1"/>
  <c r="F9" i="12" s="1"/>
  <c r="G9" i="12" s="1"/>
  <c r="G232" i="1"/>
  <c r="G234" i="1" s="1"/>
  <c r="D20" i="12" s="1"/>
  <c r="I175" i="1"/>
  <c r="I73" i="1"/>
  <c r="I76" i="1" s="1"/>
  <c r="F14" i="12" s="1"/>
  <c r="G14" i="12" s="1"/>
  <c r="I43" i="1"/>
  <c r="F11" i="12" l="1"/>
  <c r="I238" i="1"/>
  <c r="F7" i="12"/>
  <c r="G7" i="12" s="1"/>
  <c r="H76" i="1"/>
  <c r="D17" i="12"/>
  <c r="I232" i="1"/>
  <c r="G235" i="1"/>
  <c r="H181" i="1"/>
  <c r="H175" i="1"/>
  <c r="H145" i="1"/>
  <c r="H43" i="1"/>
  <c r="I60" i="1"/>
  <c r="H60" i="1" s="1"/>
  <c r="G238" i="1"/>
  <c r="E8" i="12" l="1"/>
  <c r="E9" i="12"/>
  <c r="G11" i="12"/>
  <c r="F10" i="12"/>
  <c r="G10" i="12" s="1"/>
  <c r="I234" i="1"/>
  <c r="H234" i="1" s="1"/>
  <c r="H232" i="1"/>
  <c r="E11" i="12"/>
  <c r="E14" i="12"/>
  <c r="E12" i="12"/>
  <c r="E15" i="12"/>
  <c r="E7" i="12"/>
  <c r="E10" i="12"/>
  <c r="E13" i="12"/>
  <c r="D24" i="12"/>
  <c r="F22" i="12"/>
  <c r="F24" i="12" s="1"/>
  <c r="F17" i="12" l="1"/>
  <c r="E20" i="12" l="1"/>
  <c r="E24" i="12" s="1"/>
  <c r="G22" i="12"/>
  <c r="G24" i="12" s="1"/>
  <c r="E17" i="12" l="1"/>
  <c r="G17" i="12"/>
</calcChain>
</file>

<file path=xl/sharedStrings.xml><?xml version="1.0" encoding="utf-8"?>
<sst xmlns="http://schemas.openxmlformats.org/spreadsheetml/2006/main" count="786" uniqueCount="296">
  <si>
    <t>C</t>
  </si>
  <si>
    <t>D</t>
  </si>
  <si>
    <t>E</t>
  </si>
  <si>
    <t>u.m</t>
  </si>
  <si>
    <t>DIMENSIONI</t>
  </si>
  <si>
    <t>VOCI DI LAVORAZIONE</t>
  </si>
  <si>
    <t>quantità</t>
  </si>
  <si>
    <t>prezzo</t>
  </si>
  <si>
    <t>IMPORTI</t>
  </si>
  <si>
    <t>cad</t>
  </si>
  <si>
    <t>B</t>
  </si>
  <si>
    <t>codice</t>
  </si>
  <si>
    <t>importo totale</t>
  </si>
  <si>
    <t>TOTALE</t>
  </si>
  <si>
    <t>A</t>
  </si>
  <si>
    <t>F = (DxE)</t>
  </si>
  <si>
    <t>NOTA</t>
  </si>
  <si>
    <t>Per la redazione del presente CME sono stati utilizzati:</t>
  </si>
  <si>
    <t>CODICE</t>
  </si>
  <si>
    <t>m</t>
  </si>
  <si>
    <t>mq</t>
  </si>
  <si>
    <t>Recinzione di cantiere, avente altezza minima fuori terra di 2,00 m,</t>
  </si>
  <si>
    <t>95.A10.A10.010</t>
  </si>
  <si>
    <t>costituita da pannelli in acciaio elettrosaldato e zincato, del peso di 20 kg circa, montati su basi di calcestruzzo prefabbricate. Montaggio e smontaggio.</t>
  </si>
  <si>
    <t>95.A10.A10.015</t>
  </si>
  <si>
    <t>costituita da pannelli in acciaio elettrosaldato e zincato, del peso di 20 kg circa, montati su basi di calcestruzzo prefabbricate. Nolo valutato a metro giorno. (i giorni oltre il 500° non daranno più diritto ad alcuna contabilizzeranno)</t>
  </si>
  <si>
    <t>95.C10.A10.050</t>
  </si>
  <si>
    <t>95.C10.A20.010</t>
  </si>
  <si>
    <t>Sola posa in opera di finestra o portafinestra, controtelai in alluminio, PVC, legno, acciaio esclusa la fornitura e posa di controtelaio</t>
  </si>
  <si>
    <t>Rimozione senza recupero di serramenti in legno o metallo compresa rimozione telaio a murare, per misurazione minima 2 m²</t>
  </si>
  <si>
    <t>25.A05.F10.020</t>
  </si>
  <si>
    <t>ONERI DELLA SICUREZZA</t>
  </si>
  <si>
    <t>95.F10.A10.010</t>
  </si>
  <si>
    <t>Cartello generale di cantiere conforme alle norme del regolamento edilizio, del D.lgs. 81/2008, del D.lgs. 163/2006 e loro s.m.i., della dimensione minima di 2.00 m².</t>
  </si>
  <si>
    <t>95.F10.A10.020</t>
  </si>
  <si>
    <t>Cartello di segnaletica generale, delle dimensioni di 1.00x 1,40, in PVC pesante antiurto, contenente segnali di pericolo, divieto e obbligo, inerenti il cantiere, valutato a cartello per distanza di lettura fino a 23 m, conformi UNI EN ISO 7010:2012.</t>
  </si>
  <si>
    <t>TOTALE LAVORI</t>
  </si>
  <si>
    <t>mc</t>
  </si>
  <si>
    <t>t</t>
  </si>
  <si>
    <t>Trasporto a discarica o a centro di riciclaggio di materiali di risulta provenienti da scavi e/o demolizioni, misurato su autocarro in partenza, esclusi gli eventuali oneri di discarica o smaltimento, eseguito con piccolo mezzo di trasporto con capacità di carico fino a 3 t.</t>
  </si>
  <si>
    <t>20.A15.B10.010</t>
  </si>
  <si>
    <t>per ogni chilometro del tratto entro i primi 5 km.</t>
  </si>
  <si>
    <t>mc/km</t>
  </si>
  <si>
    <t>20.A15.B10.015</t>
  </si>
  <si>
    <t>per ogni chilometro del tratto oltre i primi 5 km e fino al decimo km.</t>
  </si>
  <si>
    <t>20.A15.B10.020</t>
  </si>
  <si>
    <t>per ogni chilometro del tratto oltre i primi 10 km e fino al trentesimo km.</t>
  </si>
  <si>
    <t xml:space="preserve">distanza cantiere-discarica 15 km </t>
  </si>
  <si>
    <t>EP</t>
  </si>
  <si>
    <t>n. 1 spogliatoio</t>
  </si>
  <si>
    <t>LIG</t>
  </si>
  <si>
    <t>Ammortamento giornaliero quadro elettrico da cantiere 12 prese (durata 2 anni)</t>
  </si>
  <si>
    <t>95.A10.A05.010</t>
  </si>
  <si>
    <t>giorno</t>
  </si>
  <si>
    <t>25.A15.G10.011</t>
  </si>
  <si>
    <t>h</t>
  </si>
  <si>
    <t>Costo di smaltimento presso siti autorizzati di materiali provenienti da scavi, demolizioni, opere a verde, escluso il trasporto per materiali da interno quali tramezze, laterizio, solai in ca, intonachi, piastrelle e simili, codice CER 170904</t>
  </si>
  <si>
    <t>Serramenti</t>
  </si>
  <si>
    <t>PR.A23.B10.020</t>
  </si>
  <si>
    <t>Controtelaio per finestre, portefinestre e simili, in legno (multistrato di betulla idrofugo)</t>
  </si>
  <si>
    <t>Sola posa in opera di animella in legno per porte o finestre</t>
  </si>
  <si>
    <t>25.A80.A25.010</t>
  </si>
  <si>
    <t>TOTALE ONERI DELLA SICUREZZA</t>
  </si>
  <si>
    <t>Apprestamenti</t>
  </si>
  <si>
    <t>Impianti, mezzi e servizi di protezione collettiva</t>
  </si>
  <si>
    <t>25.A05.A45.010</t>
  </si>
  <si>
    <t>MANODOPERA</t>
  </si>
  <si>
    <t>G</t>
  </si>
  <si>
    <t>incidenza %</t>
  </si>
  <si>
    <t>OPERE EDILI</t>
  </si>
  <si>
    <t>Trasporti e conferimenti a discarica</t>
  </si>
  <si>
    <t>Demolizioni e smontaggi</t>
  </si>
  <si>
    <t>P1</t>
  </si>
  <si>
    <t>P2</t>
  </si>
  <si>
    <t>P3</t>
  </si>
  <si>
    <t>P4</t>
  </si>
  <si>
    <t>TOTALE facciata continua</t>
  </si>
  <si>
    <t>TOTALE finestre</t>
  </si>
  <si>
    <t>Locale igienico chimico. Compreso il montaggio ed il successivo smontaggio, la preparazione della base di appoggio, gli oneri per la periodica pulizia ed i relativi materiali di consumo. Per ogni mese di impiego.</t>
  </si>
  <si>
    <t>Locale spogliatoio, costituito da monoblocco in lamiera ziancata coibentata, completo di impianto elettrico e idrico, di armadietti e panche, compresi oneri di montaggio e smontaggio, il tutto conforme a quanto previsto nell'allegato XIII del D.lgs. 9/4/2008, n° 81 e s.m.i., delle dimensioni di circa 2,20x4,50x2,40 m circa,valutato per i primi 12 mesi di utilizzo</t>
  </si>
  <si>
    <t>95.B10.S10.085</t>
  </si>
  <si>
    <t>Reti o teli per contenimento polveri/materiali, per segregazione di ponteggi di facciata, continui, legati al ponteggio (almeno una legatura al m² di telo)</t>
  </si>
  <si>
    <t>H = (FxG)</t>
  </si>
  <si>
    <t>prima mantovana</t>
  </si>
  <si>
    <t>seconda mantovana</t>
  </si>
  <si>
    <t>TOTALE prospetti piani 3-4-5-6</t>
  </si>
  <si>
    <t>25.A80.A30.010</t>
  </si>
  <si>
    <t>Tipo A</t>
  </si>
  <si>
    <t>Tipo B</t>
  </si>
  <si>
    <t>Tipo C</t>
  </si>
  <si>
    <t>Tipo D</t>
  </si>
  <si>
    <t>Tipo E</t>
  </si>
  <si>
    <t>Tipo F</t>
  </si>
  <si>
    <t>Finestra o portafinestra in alluminio verniciato con marcatura CE (UNI EN 14351-1:2016),di qualunque dimensione, con profilati a taglio termico, compreso di vetrocamera sigillata tramite guarnizioni in gomma, senza uso di silicone, profili fermavetro ad incastro, gocciolatoio, serratura, ferramenta di attacco e sostegno, maniglie in alluminio, con trasmittanza termica minima prevista dalla normativa vigente, in base alla zona climatica, con classi di resistenza di tenuta all'acqua corrispondente alle norme UNI EN 12207:2017, con classe di permeabilità all'aria corrispondente alle norme UNI EN 12208:2000 e classe di resistenza al carico del vento corrispondente alle norme UNI EN 12210:2016, controtelaio escluso, minimo di misurazione per serramento m² 1,5</t>
  </si>
  <si>
    <t>Ricerca quali-quantitativa fibre amianto in campioni massivi, tramite tecnica MOLP, FT-IR, o DRX, compreso il prelievo dei campioni ed il trasporto degli stessi in laboratorio</t>
  </si>
  <si>
    <t>LOM</t>
  </si>
  <si>
    <t>1C.00.700.0030.a</t>
  </si>
  <si>
    <t>1C.00.700.0030.b</t>
  </si>
  <si>
    <t>per il primo campionamento</t>
  </si>
  <si>
    <t>per ogni campionamento successivo al primo, eseguito in continuità, all'interno dello stesso complesso edilizio o area interessata alle prove di laboratorio</t>
  </si>
  <si>
    <t>Rimozione di murature interne ed esterne, realizzate con materiali contenenti fibre di amianto, compresi: l'incapsulamento realizzato mediante applicazione in due mani di diverso colore, a pennello o a spruzzo a bassa pressione, di idoneo prodotto fissativo in dispersione acquosa ad elevata penetrazione e potere legante, su tutte le superfici esposte; l'imballaggio con teli di polietilene,
l'abbassamento, lo stoccaggio provvisorio in apposita area del cantiere, il carico e trasporto alle discariche. Sono esclusi gli oneri di smaltimento.</t>
  </si>
  <si>
    <t>1C.01.800.0060</t>
  </si>
  <si>
    <t>Analisi chimica dei materiali di risulta da demolizioni o da scavi ai sensi del DM 186/2006 ai fini del corretto smaltimento in appositi siti.</t>
  </si>
  <si>
    <t>costo medio per cadauna analisi relative a: terre da scavo, detriti da demolizioni, da pavimentazioni, da controsoffitti, da materiali isolanti, da impermeabilizzanti, da amianto e quant'altro.</t>
  </si>
  <si>
    <t>25.A12.A01.010</t>
  </si>
  <si>
    <t>Conferimento a impianto di recupero e riciclo autorizzato</t>
  </si>
  <si>
    <t>Prezziario Opere Edili ed Impiantistiche_Regione Piemonte 2022 (PMT)</t>
  </si>
  <si>
    <t>Prezziario Opere Edili ed Impiantistiche_Regione Liguria 2022 (LIG)</t>
  </si>
  <si>
    <t>Prezziario Opere Edili ed Impiantistiche_Regione Lombardia 2022 (LOM)</t>
  </si>
  <si>
    <t>Indagini di mercato (NP)</t>
  </si>
  <si>
    <t>PMT</t>
  </si>
  <si>
    <t>Rimozione e smaltimento amianto</t>
  </si>
  <si>
    <t>materiali da costruzione contenenti amianto (rif.codice CER 17 06 05): lastre e manufatti su pallet</t>
  </si>
  <si>
    <t>29.P15.A30.020</t>
  </si>
  <si>
    <t>02.P85.T12.010</t>
  </si>
  <si>
    <t>Intonaco esterno in malta cementizia</t>
  </si>
  <si>
    <t>strato aggrappante a base di cemento portland, sabbie classificate ed additivi specifici, spessore 5 mm circa.</t>
  </si>
  <si>
    <t>25.A54.A10.010</t>
  </si>
  <si>
    <t>strato di fondo a base di calce idrata, cemento portland, sabbie classificate ed additivi specifici, spessore 2/3 cm.</t>
  </si>
  <si>
    <t>25.A54.A10.020</t>
  </si>
  <si>
    <t>Ripristini</t>
  </si>
  <si>
    <t>Trattamento dei ferri d'armatura ammalorati comprese eventuali parti cementizie in aderenza e/o intercluse, in elementi in cemento armato, con prodotto inibitore di corrosione o convertitore, dato a pennello, atto a garantire l'ancoraggio di riporti in malta cementizia, compresa la pulizia con spazzola metallica, esclusa la preventiva asportazione delle parti di calcestruzzo in
fase di distacco, misurato per area ammalorata.
N.B. Per interventi su frontalini di balconi o similari, conteggiare una maggiorazione del 50%</t>
  </si>
  <si>
    <t>Risanamento e ripristino di parti mancanti di calcestruzzo eseguito con malta premiscelata fibrorinforzata, classe R3, resine sintetiche e inerti di pezzatura adeguata, per uno spessore complessivo medio fino a 30 mm, esclusi casseri ed eventuali ferri di armatura per implementazione, compresa l'asportazione delle parti ammalorate fino al raggiungimento del conglomerato sano, la pulizia mediante spazzolatura manuale o altri mezzi adeguati, incluso trattamento dei ferri esistenti con prodotti convertitori o passivanti (come da codice 02.P85.T12):</t>
  </si>
  <si>
    <t>PROSPETTO</t>
  </si>
  <si>
    <t>TIPO</t>
  </si>
  <si>
    <t>lungh.</t>
  </si>
  <si>
    <t>QUANTITA'</t>
  </si>
  <si>
    <t>SUD</t>
  </si>
  <si>
    <t>01</t>
  </si>
  <si>
    <t>02</t>
  </si>
  <si>
    <t>03</t>
  </si>
  <si>
    <t>04</t>
  </si>
  <si>
    <t>05</t>
  </si>
  <si>
    <t>06</t>
  </si>
  <si>
    <t>OVEST</t>
  </si>
  <si>
    <t>EST</t>
  </si>
  <si>
    <t>NORD</t>
  </si>
  <si>
    <t>OVST</t>
  </si>
  <si>
    <t>MATERIALI</t>
  </si>
  <si>
    <t>telaio</t>
  </si>
  <si>
    <t>specchiatura</t>
  </si>
  <si>
    <t>alt.</t>
  </si>
  <si>
    <t>superficie interessata da ripristino calcestruzzo</t>
  </si>
  <si>
    <t>Serramenti in alluminio per finestre, portefinestre ad una o più ante, a vasistas o a bilico con o senza parti fisse, impennate, eseguiti con profilati estrusi in lega di alluminio isolati a taglio termico, anodizzazione e verniciatura spess. 50 micron, completi di ferramenta adeguata di movimento e chiusura, maniglie di alluminio, guarnizioni in EPDM o neoprene e fornitura dei controtelai. Sono comprese altresì la posa in opera del falso telaio, la sigillatura tra falso telaio e telaio con nastro autoespandente, tutte le assistenze murarie, i piani di lavoro interni, il montaggio, i fissaggi, gli accessori d'uso. Misurazione riferita all'imbotte esterno, o in mancanza al perimetro esterno visibile del serramento.
I serramenti, completati con i vetri di cui al capitolo 1C.23 - Opere da vetraio, dovranno rispettare in materia di prestazione energetica, i requisiti minimi stabiliti con Deliberazione della Giunta della Regione Lombardia VIII/5773 del 31 ottobre 2007 e s.m.i. Devono essere prodotte le documentazioni che certificano la rispondenza alle seguenti norme: Marcatura CE in conformità alla direttiva CEE 89/106; UNI EN 1026 - UNI EN 12207 classe 4 di permeabilità all'aria; UNI EN 1027 - UNI EN 12208 classe 9A di tenuta all'acqua; UNI EN 12211 - UNI EN 12210 classe C5 di resistenza al carico del vento. Dovranno inoltre essere certificati il potere fonoisolante minimo di 34 dB (ISO 717) e la prestazione termica minima del serramento completo di vetri, prevista dal D.g.R. n. 3868/2015 e s.m.i..
Con apertura:</t>
  </si>
  <si>
    <t>impennata con parti fisse, con una o più ante e sopraluce con o senza aperture a vasistas</t>
  </si>
  <si>
    <t>1C.22.250.0010.l</t>
  </si>
  <si>
    <t>con interposto pannello coibente, spessore finito 40 mm</t>
  </si>
  <si>
    <t>1C.22.250.0200.b</t>
  </si>
  <si>
    <t>Assemblaggio e posa di vetrata isolante termoacustica, in conformità alla UNI 7697, con distanziatore plastico/metallico, saldato con siliconi o polisolfuri; intercapedine adeguata alle esigenze di progetto. Nel prezzo è compresa e compensata la costruzione della vetrata isolante in laboratorio e la posa su qualsiasi tipo di serramento, compresi i materiali necessari quali mastice, guarnizioni, silicone, ecc., restano esclusi i vetri i cui prezzi saranno desunti e contabilizzati dal volume 2.1, del tipo:</t>
  </si>
  <si>
    <t>vetrata doppia</t>
  </si>
  <si>
    <t>1C.23.190.0010.a</t>
  </si>
  <si>
    <t>ANTE mobili</t>
  </si>
  <si>
    <t>largh.</t>
  </si>
  <si>
    <t>mq vetro</t>
  </si>
  <si>
    <t>n°</t>
  </si>
  <si>
    <t>ANTE fisse</t>
  </si>
  <si>
    <t>serramenti</t>
  </si>
  <si>
    <t>vetro</t>
  </si>
  <si>
    <t>alluminio</t>
  </si>
  <si>
    <t>pannelli metallici di facciata</t>
  </si>
  <si>
    <t>Smontaggio di grondaie, pluviali, terminali e lattoneria e ferramenta in genere, compreso calo, carico su automezzo e oneri di smaltimento</t>
  </si>
  <si>
    <t>profili in acciaio (montanti)</t>
  </si>
  <si>
    <t>di cui ECONOMIE</t>
  </si>
  <si>
    <t>Specchiature cieche per porte e impennate in alluminio realizzate con pannelli in bilaminato, in opera comprese assistenze murarie</t>
  </si>
  <si>
    <t>Vetro basso emissivo di spessore:</t>
  </si>
  <si>
    <t>normale 6 mm (± 0,2)</t>
  </si>
  <si>
    <t>Tipo A (2 vetri)</t>
  </si>
  <si>
    <t>Tipo B (2 vetri)</t>
  </si>
  <si>
    <t>Tipo C (2 vetri)</t>
  </si>
  <si>
    <t>Tipo D (2 vetri)</t>
  </si>
  <si>
    <t>Tipo E (2 vetri)</t>
  </si>
  <si>
    <t>Tipo F (2 vetri)</t>
  </si>
  <si>
    <t>PROSPETTI piani 1 - 2 - 3 - 4</t>
  </si>
  <si>
    <t>n. 1 wc x 12 mesi</t>
  </si>
  <si>
    <t>12 mesi</t>
  </si>
  <si>
    <t>SERRAMENTI</t>
  </si>
  <si>
    <t>CURTAIN WALL</t>
  </si>
  <si>
    <t>mq ponteggio x 11 mesi</t>
  </si>
  <si>
    <t>m mantovana x 11 mesi</t>
  </si>
  <si>
    <t>29,P15,A10,010</t>
  </si>
  <si>
    <t>vetro (rif. Codice CER 17.02.02)</t>
  </si>
  <si>
    <t>Conferimento a impianto di recupero e riciclo autorizzato.
RIF. CODICE CER CLASSE 17: RIFIUTI DELLE ATTIVITA' DI COSTRUZIONE E DEMOLIZIONE</t>
  </si>
  <si>
    <t>montanti</t>
  </si>
  <si>
    <t>Tipo G</t>
  </si>
  <si>
    <t>Tipo H</t>
  </si>
  <si>
    <t>allumino</t>
  </si>
  <si>
    <t>vetro/metacr.</t>
  </si>
  <si>
    <t>ANTE mobili - vetro</t>
  </si>
  <si>
    <t>ANTE fisse - vetro</t>
  </si>
  <si>
    <t>ANTA fissa - pannello base</t>
  </si>
  <si>
    <t>ANTA fissa - pannello piccolo</t>
  </si>
  <si>
    <t>F</t>
  </si>
  <si>
    <t>H</t>
  </si>
  <si>
    <t>-</t>
  </si>
  <si>
    <t>TOT MQ</t>
  </si>
  <si>
    <t>pannello</t>
  </si>
  <si>
    <t>Tipo G (2 vetri)</t>
  </si>
  <si>
    <t>Tipo H (2 vetri)</t>
  </si>
  <si>
    <t>ONERI COVID-19 (Ministero della Salute - Ordinanza 9.05.2022</t>
  </si>
  <si>
    <t>Linee guida per la prevenzione della diffusione del COVID-19 nei cantieri da applicarsi fino 31.12.2022</t>
  </si>
  <si>
    <t xml:space="preserve">Valutazione preliminare oneri COVID 19 </t>
  </si>
  <si>
    <t>MI.T 1.3</t>
  </si>
  <si>
    <t>cad.</t>
  </si>
  <si>
    <t>MIT 2.5</t>
  </si>
  <si>
    <t>Fornitura e posa in opera di postazione igienica completa, fissa o mobile, indipendente per il lavaggio mani, dotata di lavabo a colonna con dosatore per sapone liquido o con contenitore di gel a soluzione idro alcoolica, destinata ad uso esclusivo del personale esterno (fornitori, trasportatori, ecc..) da posizionare all’ingresso dei cantieri o in prossimità dell’ingresso dei baraccamenti, mense, spazi comuni, ecc.</t>
  </si>
  <si>
    <t>Fornitura e posa in opera di opportuna cartellonistica di grande formato per l'accesso/uscita al cantiere, a colori, realizzata in alluminio spessore 5/10 o altro materiale ad alta rigidità e resistente agli agenti atmosferici, recante tutte le disposizioni da adottare in funzione dell'emergenza legata al COVID-19 per tutta la durata dei la-vori compresa la rimozione finale.</t>
  </si>
  <si>
    <t>MI.T 3.6</t>
  </si>
  <si>
    <t>Trattamento di DISINFEZIONE di locali quali ad esempio mense, spogliatoi, uffici ottenuta mediante le operazioni previste di cui al comma 1 lettere b del D.M. 7 luglio 1997, n. 274. Il trattamento dovrà essere eseguito con prodotti contenenti ipoclorito di sodio diluito al 0,1% o etanolo al 70% o perossido di idrogeno al 0,1%:
- con cadenza giornaliera all'interno di locali quali mense e spogliato come previsto al punto 2 del DPCM
- periodicamente negli altri locali a servizio del cantiere come indicato nel PSC. Dell'avvenuta disinfezione si deve dare notizia in un cartello apposto all'interno dei locali che riporti giorno ora principio attivo utilizzato e addetto che l'ha eseguita.</t>
  </si>
  <si>
    <t>MI.T 3.9</t>
  </si>
  <si>
    <t>Trattamento di DISINFEZIONE del bagno chimico ottenuta mediante le operazioni previste di cui al comma 1 lettere b del D.M. 7 luglio 1997, n. 274. Il trattamento dovrà essere eseguito con prodotti contenenti ipoclorito di sodio diluito al 0,1% o etanolo al 70% o perossido di idrogeno al 0,1%:
- con cadenza giornaliera all'interno di locali quali mense e spogliatoi come previsto al punto 2 del DPCM
- consumo previsto 0,20 l-gg-operaio.
Dell'avvenuta disinfezione si deve dare notizia in un cartello apposto all'interno dei locali che riporti giorno ora, principio attivo utilizzato e addetto che l'ha eseguita</t>
  </si>
  <si>
    <t>MI.T 4.16</t>
  </si>
  <si>
    <t>Fornitura di mascherine di protezione dalle polveri di tipo FFP2 senza valvole di inspirazione e/o espirazione, in tessuto-non-tessuto a più strati, con elastici in polipropilene, graffette in acciaio, schiuma di tenuta in poliuretano, stringinaso in alluminio. Classificazione monouso con la sigla "NR" , conformi alla norma EN 149:2001 ed avente marcatura CE, o provvista di attestazione di INAIL di rispondenza alle norme vigenti. La documentazione relativa alla consegna dei DPI deve essere conservata dal Datore di Lavoro.</t>
  </si>
  <si>
    <t>m recinzione x 365 gg</t>
  </si>
  <si>
    <t>gg-operaio</t>
  </si>
  <si>
    <t>% su singole voci</t>
  </si>
  <si>
    <t>% su totale appalto</t>
  </si>
  <si>
    <t>Lavorazioni dell’appalto</t>
  </si>
  <si>
    <t>cat.</t>
  </si>
  <si>
    <t>OG 1</t>
  </si>
  <si>
    <t>EDIFICI CIVILI E INDUSTRIALI</t>
  </si>
  <si>
    <t>OS 6</t>
  </si>
  <si>
    <t>FINITURE DI OPERE GENERALI IN MATERIALI LIGNEI, PLASTICI, METALLICI E VETROSI</t>
  </si>
  <si>
    <t>OS 18-B</t>
  </si>
  <si>
    <t>COMPONENTI PER FACCIATE CONTINUE</t>
  </si>
  <si>
    <t>TOTALE COMPLESSIVO LAVORI</t>
  </si>
  <si>
    <t>% sul valore complessivo dell’opera</t>
  </si>
  <si>
    <t>descrizione categoria</t>
  </si>
  <si>
    <t>Importo (€)</t>
  </si>
  <si>
    <t>Totali per categorie</t>
  </si>
  <si>
    <t>Quadro incidenza mano d'opera</t>
  </si>
  <si>
    <t>Costo personale (€)</t>
  </si>
  <si>
    <t>di cui</t>
  </si>
  <si>
    <t>Soggetto a ribasso</t>
  </si>
  <si>
    <t>Non soggetto a ribasso</t>
  </si>
  <si>
    <t>a</t>
  </si>
  <si>
    <t>b</t>
  </si>
  <si>
    <t>TOTALI</t>
  </si>
  <si>
    <t>Oneri sicurezza 
(non soggetti a ribasso)</t>
  </si>
  <si>
    <t>Importo lavori 
(soggetto a ribasso)</t>
  </si>
  <si>
    <t>totale delle ponteggiature di servizio</t>
  </si>
  <si>
    <t>spogliatoio (10 mq x 264 gg. lavorativi)</t>
  </si>
  <si>
    <t>wc chimico (264 gg. lavorativi x pres. media 5 operai)</t>
  </si>
  <si>
    <t>(264 gg. lavorativi x pres. media 5 operai)</t>
  </si>
  <si>
    <t>ORD</t>
  </si>
  <si>
    <t>Ordinanza 48/2020 Regione Liguria (ORD)</t>
  </si>
  <si>
    <t>29.P15.A20.015</t>
  </si>
  <si>
    <t>ferro e acciaio (rif.codice CER 17 04 05)</t>
  </si>
  <si>
    <t>RU.M01.A01.030</t>
  </si>
  <si>
    <t>Operaio qualificato</t>
  </si>
  <si>
    <t>Ripristino testate solai per successivo ancoraggio montanti parete continua (5 operai x 40)</t>
  </si>
  <si>
    <t>apertura ad una o due ante o vasistas valore trasmittanza &lt;/=1,8 W/mqK</t>
  </si>
  <si>
    <t>PR.A23.A12.011</t>
  </si>
  <si>
    <t>Oneri sicurezza - apprestamenti e impianti</t>
  </si>
  <si>
    <t>Oneri sicurezza - covid 19</t>
  </si>
  <si>
    <t>Demolizioni, smontaggi e smaltimento in discarica</t>
  </si>
  <si>
    <t>Ripristini e finiture</t>
  </si>
  <si>
    <t>TOTALE oneri sicurezza</t>
  </si>
  <si>
    <t>Curtain wall</t>
  </si>
  <si>
    <t>per interventi estesi di superficie oltre 0,25 m²</t>
  </si>
  <si>
    <t>02.P85.T15.020</t>
  </si>
  <si>
    <t>totale parziale</t>
  </si>
  <si>
    <t>95.B10.S10.011</t>
  </si>
  <si>
    <t>"di facciata", in elementi metallici prefabbricati e/o "giunto-tubo", compreso il montaggio e lo smontaggio finale, i piani di lavoro, idonea segnaletica, compresi gli eventuali oneri di progettazione, escluso: impianto di messa a terra, mantovane, illuminazione notturna e reti di protezione - Montaggio, smontaggio e noleggio per il primo mese di utilizzo</t>
  </si>
  <si>
    <t>Ponteggi solo in corrispondenza dei curtain wall</t>
  </si>
  <si>
    <t>95.B10.S10.016</t>
  </si>
  <si>
    <t>"di facciata", in elementi metallici prefabbricati e/o "giunto-tubo", compreso il montaggio e lo smontaggio finale, i piani di lavoro, idonea segnaletica, impianto di messa a terra, compresi gli eventuali oneri di progettazione, escluso: mantovane, illuminazione notturna e reti di protezione - Noleggio per ogni mese oltre il primo.</t>
  </si>
  <si>
    <t>95.B10.S10.030</t>
  </si>
  <si>
    <t>Mantovana parasassi posta in opera lungo il paramento esterno del ponteggio con inclinazione a 45° e sporgenza di 1.50 m completa di orditura e chiusura ermetica - Montaggio e smontaggio e noleggio primo mese.</t>
  </si>
  <si>
    <t>95.B10.S10.040</t>
  </si>
  <si>
    <t>Mantovana parasassi posta in opera lungo il paramento esterno del ponteggio con inclinazione a 45° e sporgenza di 1.50 m completa di orditura e chiusura ermetica - Noleggio per ogni mese successivo al primo.</t>
  </si>
  <si>
    <t>Fornitura e posa facciate continue</t>
  </si>
  <si>
    <t>di cui A CORPO</t>
  </si>
  <si>
    <t>Ponteggiature "di facciata", in elementi metallici prefabbricati e/o "giunto-tubo", compreso il montaggio e lo smontaggio finale, i piani di lavoro, idonea segnaletica, compresi gli eventuali oneri di progettazione, escluso: impianto di messa a terra, mantovane, illuminazione notturna e reti di protezione - Montaggio, smontaggio e noleggio per il primo mese di utilizzo</t>
  </si>
  <si>
    <t>Ponteggiature "di facciata", in elementi metallici prefabbricati e/o "giunto-tubo", compreso il montaggio e lo smontaggio finale, i piani di lavoro, idonea segnaletica, impianto di messa a terra, compresi gli eventuali oneri di progettazione, escluso: mantovane, illuminazione notturna e reti di protezione - Noleggio per ogni mese oltre il primo.</t>
  </si>
  <si>
    <t>Recinzione di cantiere, avente altezza minima fuori terra di 2,00 m, costituita da pannelli in acciaio elettrosaldato e zincato, del peso di 20 kg circa, montati su basi di calcestruzzo prefabbricate. Montaggio e smontaggio.</t>
  </si>
  <si>
    <t>Risanamento e ripristino di parti mancanti di calcestruzzo eseguito con malta premiscelata fibrorinforzata, classe R3, resine sintetiche e inerti di pezzatura adeguata, per uno spessore complessivo medio fino a 30 mm, esclusi casseri ed eventuali ferri di armatura per implementazione, compresa l'asportazione delle parti ammalorate fino al raggiungimento del conglomerato sano, la pulizia mediante spazzolatura manuale o altri mezzi adeguati, incluso trattamento dei ferri esistenti con prodotti convertitori o passivanti (come da codice 02.P85.T12):
per interventi estesi di superficie oltre 0,25 m²</t>
  </si>
  <si>
    <t>Intonaco esterno in malta cementizia strato aggrappante a base di cemento portland, sabbie classificate ed additivi specifici, spessore 5 mm circa.</t>
  </si>
  <si>
    <t>Intonaco esterno in malta cementizia strato di fondo a base di calce idrata, cemento portland, sabbie classificate ed additivi specifici, spessore 2/3 cm.</t>
  </si>
  <si>
    <t>29.P15.A10.010</t>
  </si>
  <si>
    <t>Recinzione di cantiere, costituita da pannelli in acciaio elettrosaldato e zincato, del peso di 20 kg circa, montati su basi di calcestruzzo prefabbricate. Nolo valutato a metro giorno. (i giorni oltre il 500° non daranno più diritto ad alcuna contabilizzeranno)</t>
  </si>
  <si>
    <t>Ricerca quali-quantitativa fibre amianto in campioni massivi, tramite tecnica MOLP, FT-IR, o DRX, compreso il prelievo dei campioni ed il trasporto degli stessi in laboratorio per il primo campionamento</t>
  </si>
  <si>
    <t>Ricerca quali-quantitativa fibre amianto in campioni massivi, tramite tecnica MOLP, FT-IR, o DRX, compreso il prelievo dei campioni ed il trasporto degli stessi in laboratorio per ogni campionamento successivo al primo, eseguito in continuità, all'interno dello stesso complesso edilizio o area interessata alle prove di laboratorio</t>
  </si>
  <si>
    <t>Analisi chimica dei materiali di risulta da demolizioni o da scavi ai sensi del DM 186/2006 ai fini del corretto smaltimento in appositi siti. 
costo medio per cadauna analisi relative a: terre da scavo, detriti da demolizioni, da pavimentazioni, da controsoffitti, da materiali isolanti, da impermeabilizzanti, da amianto e quant'altro.</t>
  </si>
  <si>
    <t>Conferimento a impianto di recupero e riciclo autorizzato.
RIF. CODICE CER CLASSE 17: RIFIUTI DELLE ATTIVITA' DI COSTRUZIONE E DEMOLIZIONE:
vetro (rif. Codice CER 17.02.02)</t>
  </si>
  <si>
    <t>Conferimento a impianto di recupero e riciclo autorizzato.
RIF. CODICE CER CLASSE 17: RIFIUTI DELLE ATTIVITA' DI COSTRUZIONE E DEMOLIZIONE:
ferro e acciaio (rif.codice CER 17 04 05)</t>
  </si>
  <si>
    <t>Trasporto a discarica o a centro di riciclaggio di materiali di risulta provenienti da scavi e/o demolizioni, misurato su autocarro in partenza, esclusi gli eventuali oneri di discarica o smaltimento, eseguito con piccolo mezzo di trasporto con capacità di carico fino a 3 t:
per ogni chilometro del tratto entro i primi 5 km.</t>
  </si>
  <si>
    <t>Trasporto a discarica o a centro di riciclaggio di materiali di risulta provenienti da scavi e/o demolizioni, misurato su autocarro in partenza, esclusi gli eventuali oneri di discarica o smaltimento, eseguito con piccolo mezzo di trasporto con capacità di carico fino a 3 t:
per ogni chilometro del tratto oltre i primi 5 km e fino al decimo km.</t>
  </si>
  <si>
    <t>Serramenti in alluminio per finestre, portefinestre ad una o più ante, a vasistas o a bilico con o senza parti fisse, impennate, eseguiti con profilati estrusi in lega di alluminio isolati a taglio termico, anodizzazione e verniciatura spess. 50 micron, completi di ferramenta adeguata di movimento e chiusura, maniglie di alluminio, guarnizioni in EPDM o neoprene e fornitura dei controtelai. Sono comprese altresì la posa in opera del falso telaio, la sigillatura tra falso telaio e telaio con nastro autoespandente, tutte le assistenze murarie, i piani di lavoro interni, il montaggio, i fissaggi, gli accessori d'uso. Misurazione riferita all'imbotte esterno, o in mancanza al perimetro esterno visibile del serramento.
I serramenti, completati con i vetri di cui al capitolo 1C.23 - Opere da vetraio, dovranno rispettare in materia di prestazione energetica, i requisiti minimi stabiliti con Deliberazione della Giunta della Regione Lombardia VIII/5773 del 31 ottobre 2007 e s.m.i. Devono essere prodotte le documentazioni che certificano la rispondenza alle seguenti norme: Marcatura CE in conformità alla direttiva CEE 89/106; UNI EN 1026 - UNI EN 12207 classe 4 di permeabilità all'aria; UNI EN 1027 - UNI EN 12208 classe 9A di tenuta all'acqua; UNI EN 12211 - UNI EN 12210 classe C5 di resistenza al carico del vento. Dovranno inoltre essere certificati il potere fonoisolante minimo di 34 dB (ISO 717) e la prestazione termica minima del serramento completo di vetri, prevista dal D.g.R. n. 3868/2015 e s.m.i..
Con apertura:
impennata con parti fisse, con una o più ante e sopraluce con o senza aperture a vasistas</t>
  </si>
  <si>
    <t>Specchiature cieche per porte e impennate in alluminio realizzate con pannelli in bilaminato, in opera comprese assistenze murarie con interposto pannello coibente, spessore finito 40 mm</t>
  </si>
  <si>
    <t>Assemblaggio e posa di vetrata isolante termoacustica, in conformità alla UNI 7697, con distanziatore plastico/metallico, saldato con siliconi o polisolfuri; intercapedine adeguata alle esigenze di progetto. Nel prezzo è compresa e compensata la costruzione della vetrata isolante in laboratorio e la posa su qualsiasi tipo di serramento, compresi i materiali necessari quali mastice, guarnizioni, silicone, ecc., restano esclusi i vetri i cui prezzi saranno desunti e contabilizzati dal volume 2.1, del tipo:
vetrata doppia</t>
  </si>
  <si>
    <t>Vetro basso emissivo di spessore:
normale 6 mm (± 0,2)</t>
  </si>
  <si>
    <t>MC.23.150.0010.c</t>
  </si>
  <si>
    <t>Trasporto a discarica o a centro di riciclaggio di materiali di risulta provenienti da scavi e/o demolizioni, misurato su autocarro in partenza, esclusi gli eventuali oneri di discarica o smaltimento, eseguito con piccolo mezzo di trasporto con capacità di carico fino a 3 t:
per ogni chilometro del tratto oltre i primi 10 km e fino al trentesimo km.</t>
  </si>
  <si>
    <t>Finestra o portafinestra in alluminio verniciato con marcatura CE (UNI EN 14351-1:2016),di qualunque dimensione, con profilati a taglio termico, compreso di vetrocamera sigillata tramite guarnizioni in gomma, senza uso di silicone, profili fermavetro ad incastro, gocciolatoio, serratura, ferramenta di attacco e sostegno, maniglie in alluminio, con trasmittanza termica minima prevista dalla normativa vigente, in base alla zona climatica, con classi di resistenza di tenuta all'acqua corrispondente alle norme UNI EN 12207:2017, con classe di permeabilità all'aria corrispondente alle norme UNI EN 12208:2000 e classe di resistenza al carico del vento corrispondente alle norme UNI EN 12210:2016, controtelaio escluso, minimo di misurazione per serramento m² 1,5:
apertura ad una o due ante o vasistas valore trasmittanza &lt;/=1,8 W/mqK</t>
  </si>
  <si>
    <t>Conferimento a impianto di recupero e riciclo autorizzato materiali da costruzione contenenti amianto (rif.codice CER 17 06 05): 
lastre e manufatti su pallet</t>
  </si>
  <si>
    <t>PIANO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</si>
</sst>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quot;€&quot;\ * #,##0.00_-;\-&quot;€&quot;\ * #,##0.00_-;_-&quot;€&quot;\ * &quot;-&quot;??_-;_-@_-"/>
    <numFmt numFmtId="165" formatCode="_-* #,##0.00\ &quot;DM&quot;_-;\-* #,##0.00\ &quot;DM&quot;_-;_-* &quot;-&quot;??\ &quot;DM&quot;_-;_-@_-"/>
    <numFmt numFmtId="166" formatCode="#,##0.00\ [$€-1];[Red]\-#,##0.00\ [$€-1]"/>
    <numFmt numFmtId="167" formatCode="_-* #,##0.00\ [$€-410]_-;\-* #,##0.00\ [$€-410]_-;_-* &quot;-&quot;??\ [$€-410]_-;_-@_-"/>
    <numFmt numFmtId="168" formatCode="#,##0.00\ _€"/>
  </numFmts>
  <fonts count="22" x14ac:knownFonts="1">
    <font>
      <sz val="10"/>
      <name val="Arial"/>
    </font>
    <font>
      <sz val="10"/>
      <name val="Arial"/>
      <family val="2"/>
    </font>
    <font>
      <sz val="8"/>
      <name val="Arial"/>
      <family val="2"/>
    </font>
    <font>
      <b/>
      <sz val="10"/>
      <name val="Century"/>
      <family val="1"/>
    </font>
    <font>
      <sz val="10"/>
      <name val="Century"/>
      <family val="1"/>
    </font>
    <font>
      <sz val="8"/>
      <name val="Century"/>
      <family val="1"/>
    </font>
    <font>
      <sz val="11"/>
      <name val="Century"/>
      <family val="1"/>
    </font>
    <font>
      <i/>
      <sz val="10"/>
      <name val="Century"/>
      <family val="1"/>
    </font>
    <font>
      <b/>
      <sz val="8"/>
      <name val="Century"/>
      <family val="1"/>
    </font>
    <font>
      <u/>
      <sz val="10"/>
      <name val="Century"/>
      <family val="1"/>
    </font>
    <font>
      <b/>
      <u/>
      <sz val="10"/>
      <name val="Century"/>
      <family val="1"/>
    </font>
    <font>
      <i/>
      <sz val="10"/>
      <color indexed="8"/>
      <name val="Century"/>
      <family val="1"/>
    </font>
    <font>
      <sz val="8"/>
      <color indexed="8"/>
      <name val="Century"/>
      <family val="1"/>
    </font>
    <font>
      <sz val="10"/>
      <color indexed="8"/>
      <name val="Century"/>
      <family val="1"/>
    </font>
    <font>
      <sz val="9"/>
      <name val="Arial"/>
      <family val="2"/>
    </font>
    <font>
      <sz val="9"/>
      <color rgb="FF000000"/>
      <name val="Arial"/>
      <family val="2"/>
    </font>
    <font>
      <sz val="10"/>
      <name val="Arial"/>
      <family val="2"/>
    </font>
    <font>
      <b/>
      <sz val="10"/>
      <color rgb="FF000000"/>
      <name val="Arial"/>
      <family val="2"/>
    </font>
    <font>
      <sz val="10"/>
      <color rgb="FF000000"/>
      <name val="Arial"/>
      <family val="2"/>
    </font>
    <font>
      <b/>
      <sz val="10"/>
      <name val="Arial"/>
      <family val="2"/>
    </font>
    <font>
      <i/>
      <sz val="10"/>
      <name val="Arial"/>
      <family val="2"/>
    </font>
    <font>
      <sz val="10"/>
      <color theme="0" tint="-0.34998626667073579"/>
      <name val="Century"/>
      <family val="1"/>
    </font>
  </fonts>
  <fills count="6">
    <fill>
      <patternFill patternType="none"/>
    </fill>
    <fill>
      <patternFill patternType="gray125"/>
    </fill>
    <fill>
      <patternFill patternType="solid">
        <fgColor theme="0" tint="-0.249977111117893"/>
        <bgColor indexed="64"/>
      </patternFill>
    </fill>
    <fill>
      <patternFill patternType="solid">
        <fgColor theme="6" tint="0.59999389629810485"/>
        <bgColor indexed="64"/>
      </patternFill>
    </fill>
    <fill>
      <patternFill patternType="solid">
        <fgColor rgb="FFD9D9D9"/>
        <bgColor indexed="64"/>
      </patternFill>
    </fill>
    <fill>
      <patternFill patternType="lightDown">
        <bgColor rgb="FFDDDDDD"/>
      </patternFill>
    </fill>
  </fills>
  <borders count="6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n">
        <color indexed="8"/>
      </right>
      <top/>
      <bottom/>
      <diagonal/>
    </border>
    <border>
      <left style="thin">
        <color indexed="8"/>
      </left>
      <right style="medium">
        <color indexed="64"/>
      </right>
      <top/>
      <bottom/>
      <diagonal/>
    </border>
    <border>
      <left/>
      <right style="thin">
        <color indexed="8"/>
      </right>
      <top/>
      <bottom/>
      <diagonal/>
    </border>
    <border>
      <left style="hair">
        <color indexed="64"/>
      </left>
      <right style="hair">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8"/>
      </left>
      <right style="medium">
        <color indexed="64"/>
      </right>
      <top style="thin">
        <color indexed="64"/>
      </top>
      <bottom/>
      <diagonal/>
    </border>
    <border>
      <left/>
      <right style="medium">
        <color indexed="64"/>
      </right>
      <top/>
      <bottom/>
      <diagonal/>
    </border>
    <border>
      <left/>
      <right/>
      <top style="medium">
        <color indexed="64"/>
      </top>
      <bottom/>
      <diagonal/>
    </border>
    <border>
      <left/>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8"/>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8"/>
      </right>
      <top/>
      <bottom style="medium">
        <color indexed="64"/>
      </bottom>
      <diagonal/>
    </border>
    <border>
      <left style="medium">
        <color indexed="64"/>
      </left>
      <right style="medium">
        <color indexed="64"/>
      </right>
      <top/>
      <bottom style="thin">
        <color indexed="64"/>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433">
    <xf numFmtId="0" fontId="0" fillId="0" borderId="0" xfId="0"/>
    <xf numFmtId="0" fontId="4" fillId="0" borderId="0" xfId="0" applyFont="1" applyAlignment="1">
      <alignment horizontal="justify" vertical="center" wrapText="1"/>
    </xf>
    <xf numFmtId="0" fontId="4" fillId="0" borderId="0" xfId="0" applyFont="1" applyFill="1" applyAlignment="1">
      <alignment horizontal="justify" vertical="center" wrapText="1"/>
    </xf>
    <xf numFmtId="0" fontId="4" fillId="0" borderId="0" xfId="0" applyFont="1" applyAlignment="1">
      <alignment horizontal="center" vertical="center" wrapText="1"/>
    </xf>
    <xf numFmtId="164" fontId="4" fillId="0" borderId="0" xfId="0" applyNumberFormat="1" applyFont="1" applyFill="1" applyAlignment="1">
      <alignment horizontal="center" vertical="center" wrapText="1"/>
    </xf>
    <xf numFmtId="164" fontId="4" fillId="0" borderId="0" xfId="0" applyNumberFormat="1" applyFont="1" applyAlignment="1">
      <alignment horizontal="center" vertical="center" wrapText="1"/>
    </xf>
    <xf numFmtId="4" fontId="4" fillId="0" borderId="13" xfId="0" applyNumberFormat="1" applyFont="1" applyBorder="1" applyAlignment="1">
      <alignment horizontal="right" vertical="center"/>
    </xf>
    <xf numFmtId="4" fontId="4" fillId="0" borderId="0" xfId="0" applyNumberFormat="1" applyFont="1" applyBorder="1" applyAlignment="1">
      <alignment horizontal="right" vertical="center"/>
    </xf>
    <xf numFmtId="0" fontId="4" fillId="0" borderId="9" xfId="0" applyFont="1" applyBorder="1" applyAlignment="1" applyProtection="1">
      <alignment horizontal="center" vertical="center" wrapText="1"/>
      <protection locked="0"/>
    </xf>
    <xf numFmtId="164" fontId="4" fillId="0" borderId="9" xfId="0" applyNumberFormat="1" applyFont="1" applyBorder="1" applyAlignment="1" applyProtection="1">
      <alignment horizontal="center" vertical="center" wrapText="1"/>
      <protection locked="0"/>
    </xf>
    <xf numFmtId="0" fontId="4" fillId="0" borderId="8" xfId="0" applyFont="1" applyBorder="1" applyAlignment="1" applyProtection="1">
      <alignment horizontal="justify" vertical="top" wrapText="1"/>
      <protection locked="0"/>
    </xf>
    <xf numFmtId="164" fontId="4" fillId="0" borderId="11" xfId="0" applyNumberFormat="1" applyFont="1" applyBorder="1" applyAlignment="1">
      <alignment horizontal="center" vertical="center" wrapText="1"/>
    </xf>
    <xf numFmtId="164" fontId="4" fillId="0" borderId="0" xfId="0" applyNumberFormat="1" applyFont="1" applyBorder="1" applyAlignment="1" applyProtection="1">
      <alignment horizontal="center" vertical="center" wrapText="1"/>
      <protection locked="0"/>
    </xf>
    <xf numFmtId="164" fontId="4" fillId="0" borderId="0" xfId="0" applyNumberFormat="1" applyFont="1" applyAlignment="1" applyProtection="1">
      <alignment horizontal="center" vertical="center" wrapText="1"/>
      <protection locked="0"/>
    </xf>
    <xf numFmtId="0" fontId="4" fillId="0" borderId="8" xfId="0" applyFont="1" applyFill="1" applyBorder="1" applyAlignment="1" applyProtection="1">
      <alignment horizontal="justify" vertical="center" wrapText="1"/>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horizontal="justify" vertical="center" wrapText="1"/>
      <protection locked="0"/>
    </xf>
    <xf numFmtId="2" fontId="4" fillId="0" borderId="11" xfId="0" applyNumberFormat="1" applyFont="1" applyBorder="1" applyAlignment="1">
      <alignment horizontal="center" vertical="center" wrapText="1"/>
    </xf>
    <xf numFmtId="0" fontId="4" fillId="0" borderId="9" xfId="0" applyFont="1" applyFill="1" applyBorder="1" applyAlignment="1" applyProtection="1">
      <alignment horizontal="center" vertical="center" wrapText="1"/>
      <protection locked="0"/>
    </xf>
    <xf numFmtId="164" fontId="4" fillId="0" borderId="11" xfId="0" applyNumberFormat="1" applyFont="1" applyFill="1" applyBorder="1" applyAlignment="1">
      <alignment horizontal="center" vertical="center" wrapText="1"/>
    </xf>
    <xf numFmtId="0" fontId="4" fillId="0" borderId="8" xfId="0" applyFont="1" applyBorder="1" applyAlignment="1" applyProtection="1">
      <alignment horizontal="justify" vertical="center" wrapText="1"/>
      <protection locked="0"/>
    </xf>
    <xf numFmtId="164" fontId="4" fillId="0" borderId="0" xfId="0" applyNumberFormat="1" applyFont="1" applyFill="1" applyBorder="1" applyAlignment="1" applyProtection="1">
      <alignment horizontal="center" vertical="center" wrapText="1"/>
      <protection locked="0"/>
    </xf>
    <xf numFmtId="0" fontId="7" fillId="0" borderId="8" xfId="0" applyFont="1" applyFill="1" applyBorder="1" applyAlignment="1" applyProtection="1">
      <alignment horizontal="right" vertical="center" wrapText="1"/>
      <protection locked="0"/>
    </xf>
    <xf numFmtId="2" fontId="3" fillId="0" borderId="11" xfId="0" applyNumberFormat="1" applyFont="1" applyBorder="1" applyAlignment="1">
      <alignment horizontal="center" vertical="center" wrapText="1"/>
    </xf>
    <xf numFmtId="0" fontId="3" fillId="0" borderId="8" xfId="0" applyFont="1" applyBorder="1" applyAlignment="1" applyProtection="1">
      <alignment horizontal="justify" vertical="center" wrapText="1"/>
      <protection locked="0"/>
    </xf>
    <xf numFmtId="0" fontId="3" fillId="0" borderId="9" xfId="0" applyFont="1" applyBorder="1" applyAlignment="1" applyProtection="1">
      <alignment horizontal="center" vertical="center" wrapText="1"/>
      <protection locked="0"/>
    </xf>
    <xf numFmtId="164" fontId="3" fillId="0" borderId="0" xfId="0" applyNumberFormat="1" applyFont="1" applyBorder="1" applyAlignment="1" applyProtection="1">
      <alignment horizontal="center" vertical="center" wrapText="1"/>
      <protection locked="0"/>
    </xf>
    <xf numFmtId="164" fontId="3" fillId="0" borderId="11" xfId="0" applyNumberFormat="1" applyFont="1" applyBorder="1" applyAlignment="1" applyProtection="1">
      <alignment horizontal="center" vertical="center" wrapText="1"/>
      <protection locked="0"/>
    </xf>
    <xf numFmtId="164" fontId="3" fillId="0" borderId="9" xfId="0" applyNumberFormat="1" applyFont="1" applyBorder="1" applyAlignment="1" applyProtection="1">
      <alignment horizontal="center" vertical="center" wrapText="1"/>
      <protection locked="0"/>
    </xf>
    <xf numFmtId="164" fontId="3" fillId="0" borderId="11" xfId="0" applyNumberFormat="1" applyFont="1" applyBorder="1" applyAlignment="1">
      <alignment horizontal="center" vertical="center" wrapText="1"/>
    </xf>
    <xf numFmtId="0" fontId="3" fillId="0" borderId="0" xfId="0" applyFont="1" applyAlignment="1" applyProtection="1">
      <alignment horizontal="center" vertical="center" wrapText="1"/>
      <protection locked="0"/>
    </xf>
    <xf numFmtId="0" fontId="3" fillId="0" borderId="0" xfId="0" applyFont="1" applyAlignment="1" applyProtection="1">
      <alignment horizontal="justify" vertical="center" wrapText="1"/>
      <protection locked="0"/>
    </xf>
    <xf numFmtId="0" fontId="7" fillId="0" borderId="8" xfId="0" applyFont="1" applyBorder="1" applyAlignment="1" applyProtection="1">
      <alignment horizontal="right" vertical="center" wrapText="1"/>
      <protection locked="0"/>
    </xf>
    <xf numFmtId="0" fontId="4" fillId="0" borderId="8" xfId="0" applyFont="1" applyFill="1" applyBorder="1" applyAlignment="1" applyProtection="1">
      <alignment horizontal="left" vertical="center" wrapText="1"/>
      <protection locked="0"/>
    </xf>
    <xf numFmtId="0" fontId="4" fillId="0" borderId="0" xfId="0" applyFont="1"/>
    <xf numFmtId="0" fontId="4" fillId="0" borderId="0" xfId="0" applyFont="1" applyAlignment="1">
      <alignment horizontal="center"/>
    </xf>
    <xf numFmtId="0" fontId="4" fillId="0" borderId="0" xfId="0" applyFont="1" applyAlignment="1">
      <alignment horizontal="left"/>
    </xf>
    <xf numFmtId="0" fontId="3" fillId="0" borderId="25" xfId="0" applyFont="1" applyBorder="1"/>
    <xf numFmtId="0" fontId="4" fillId="0" borderId="25" xfId="0" applyFont="1" applyBorder="1" applyAlignment="1">
      <alignment horizontal="left"/>
    </xf>
    <xf numFmtId="0" fontId="4" fillId="0" borderId="25" xfId="0" applyFont="1" applyBorder="1" applyAlignment="1">
      <alignment horizontal="center"/>
    </xf>
    <xf numFmtId="0" fontId="4" fillId="0" borderId="25" xfId="0" quotePrefix="1" applyFont="1" applyBorder="1" applyAlignment="1">
      <alignment horizontal="center"/>
    </xf>
    <xf numFmtId="0" fontId="4" fillId="0" borderId="0" xfId="0" quotePrefix="1" applyFont="1" applyAlignment="1">
      <alignment horizontal="center"/>
    </xf>
    <xf numFmtId="2" fontId="4" fillId="0" borderId="25" xfId="0" applyNumberFormat="1" applyFont="1" applyBorder="1" applyAlignment="1">
      <alignment horizontal="center"/>
    </xf>
    <xf numFmtId="0" fontId="3" fillId="3" borderId="8" xfId="0" applyFont="1" applyFill="1" applyBorder="1" applyAlignment="1" applyProtection="1">
      <alignment horizontal="justify" vertical="center" wrapText="1"/>
      <protection locked="0"/>
    </xf>
    <xf numFmtId="0" fontId="4" fillId="0" borderId="26" xfId="0" applyFont="1" applyBorder="1" applyAlignment="1">
      <alignment horizontal="center"/>
    </xf>
    <xf numFmtId="0" fontId="4" fillId="0" borderId="0" xfId="0" applyFont="1" applyBorder="1" applyAlignment="1">
      <alignment horizontal="center"/>
    </xf>
    <xf numFmtId="0" fontId="4" fillId="0" borderId="27" xfId="0" applyFont="1" applyBorder="1" applyAlignment="1">
      <alignment horizontal="center"/>
    </xf>
    <xf numFmtId="2" fontId="4" fillId="0" borderId="28" xfId="0" applyNumberFormat="1" applyFont="1" applyBorder="1" applyAlignment="1">
      <alignment horizontal="center"/>
    </xf>
    <xf numFmtId="2" fontId="4" fillId="0" borderId="27" xfId="0" applyNumberFormat="1" applyFont="1" applyBorder="1" applyAlignment="1">
      <alignment horizontal="center"/>
    </xf>
    <xf numFmtId="0" fontId="4" fillId="0" borderId="29" xfId="0" applyFont="1" applyBorder="1"/>
    <xf numFmtId="0" fontId="4" fillId="0" borderId="30" xfId="0" applyFont="1" applyBorder="1"/>
    <xf numFmtId="0" fontId="4" fillId="0" borderId="31" xfId="0" applyFont="1" applyBorder="1" applyAlignment="1">
      <alignment horizontal="center"/>
    </xf>
    <xf numFmtId="0" fontId="4" fillId="0" borderId="32" xfId="0" applyFont="1" applyBorder="1" applyAlignment="1">
      <alignment horizontal="center"/>
    </xf>
    <xf numFmtId="0" fontId="4" fillId="0" borderId="33" xfId="0" applyFont="1" applyBorder="1" applyAlignment="1">
      <alignment horizontal="center"/>
    </xf>
    <xf numFmtId="2" fontId="4" fillId="0" borderId="34" xfId="0" applyNumberFormat="1" applyFont="1" applyBorder="1" applyAlignment="1">
      <alignment horizontal="center"/>
    </xf>
    <xf numFmtId="2" fontId="4" fillId="0" borderId="33" xfId="0" applyNumberFormat="1" applyFont="1" applyBorder="1" applyAlignment="1">
      <alignment horizontal="center"/>
    </xf>
    <xf numFmtId="2" fontId="4" fillId="0" borderId="0" xfId="0" applyNumberFormat="1" applyFont="1" applyBorder="1" applyAlignment="1">
      <alignment horizontal="center"/>
    </xf>
    <xf numFmtId="0" fontId="4" fillId="0" borderId="27" xfId="0" quotePrefix="1" applyFont="1" applyBorder="1" applyAlignment="1">
      <alignment horizontal="center"/>
    </xf>
    <xf numFmtId="2" fontId="4" fillId="0" borderId="33" xfId="0" applyNumberFormat="1" applyFont="1" applyBorder="1"/>
    <xf numFmtId="2" fontId="4" fillId="0" borderId="0" xfId="0" applyNumberFormat="1" applyFont="1" applyBorder="1"/>
    <xf numFmtId="2" fontId="4" fillId="0" borderId="27" xfId="0" applyNumberFormat="1" applyFont="1" applyBorder="1"/>
    <xf numFmtId="2" fontId="4" fillId="0" borderId="11" xfId="0" applyNumberFormat="1" applyFont="1" applyBorder="1" applyAlignment="1">
      <alignment horizontal="left" vertical="center" wrapText="1"/>
    </xf>
    <xf numFmtId="164" fontId="4" fillId="0" borderId="0" xfId="0" applyNumberFormat="1" applyFont="1" applyBorder="1" applyAlignment="1" applyProtection="1">
      <alignment horizontal="left" vertical="center" wrapText="1"/>
      <protection locked="0"/>
    </xf>
    <xf numFmtId="164" fontId="4" fillId="0" borderId="11" xfId="0" applyNumberFormat="1" applyFont="1" applyBorder="1" applyAlignment="1">
      <alignment horizontal="left" vertical="center" wrapText="1"/>
    </xf>
    <xf numFmtId="10" fontId="4" fillId="0" borderId="0" xfId="0" applyNumberFormat="1"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10" fontId="4" fillId="0" borderId="0" xfId="0" applyNumberFormat="1" applyFont="1" applyBorder="1" applyAlignment="1" applyProtection="1">
      <alignment horizontal="center" vertical="center" wrapText="1"/>
      <protection locked="0"/>
    </xf>
    <xf numFmtId="2" fontId="4" fillId="0" borderId="11" xfId="0" applyNumberFormat="1" applyFont="1" applyBorder="1" applyAlignment="1" applyProtection="1">
      <alignment horizontal="center" vertical="center" wrapText="1"/>
      <protection locked="0"/>
    </xf>
    <xf numFmtId="10" fontId="4" fillId="0" borderId="9" xfId="0" applyNumberFormat="1" applyFont="1" applyBorder="1" applyAlignment="1" applyProtection="1">
      <alignment horizontal="center" vertical="center" wrapText="1"/>
      <protection locked="0"/>
    </xf>
    <xf numFmtId="0" fontId="4" fillId="0" borderId="0" xfId="0" applyFont="1" applyFill="1"/>
    <xf numFmtId="0" fontId="4" fillId="0" borderId="0" xfId="0" applyFont="1" applyFill="1" applyAlignment="1">
      <alignment horizontal="center"/>
    </xf>
    <xf numFmtId="2" fontId="4" fillId="0" borderId="0" xfId="0" applyNumberFormat="1" applyFont="1" applyFill="1"/>
    <xf numFmtId="2" fontId="4" fillId="0" borderId="33" xfId="0" applyNumberFormat="1" applyFont="1" applyFill="1" applyBorder="1"/>
    <xf numFmtId="2" fontId="3" fillId="0" borderId="37" xfId="0" applyNumberFormat="1" applyFont="1" applyBorder="1" applyAlignment="1">
      <alignment horizontal="center" vertical="center" wrapText="1"/>
    </xf>
    <xf numFmtId="164" fontId="3" fillId="0" borderId="37" xfId="0" applyNumberFormat="1" applyFont="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5" fillId="0" borderId="2" xfId="0" applyNumberFormat="1"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2" fontId="4" fillId="0" borderId="4" xfId="0" applyNumberFormat="1" applyFont="1" applyFill="1" applyBorder="1" applyAlignment="1" applyProtection="1">
      <alignment horizontal="center" vertical="center" wrapText="1"/>
      <protection locked="0"/>
    </xf>
    <xf numFmtId="164" fontId="4" fillId="0" borderId="2" xfId="0" applyNumberFormat="1" applyFont="1" applyFill="1" applyBorder="1" applyAlignment="1" applyProtection="1">
      <alignment horizontal="center" vertical="center" wrapText="1"/>
      <protection locked="0"/>
    </xf>
    <xf numFmtId="164" fontId="4" fillId="0" borderId="4" xfId="0" applyNumberFormat="1" applyFont="1" applyFill="1" applyBorder="1" applyAlignment="1" applyProtection="1">
      <alignment horizontal="center" vertical="center" wrapText="1"/>
      <protection locked="0"/>
    </xf>
    <xf numFmtId="10" fontId="4" fillId="0" borderId="2" xfId="0" applyNumberFormat="1"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2" fontId="5" fillId="0" borderId="7" xfId="0" applyNumberFormat="1" applyFont="1" applyFill="1" applyBorder="1" applyAlignment="1" applyProtection="1">
      <alignment horizontal="center" vertical="center" wrapText="1"/>
      <protection locked="0"/>
    </xf>
    <xf numFmtId="164" fontId="5" fillId="0" borderId="6" xfId="0" applyNumberFormat="1" applyFont="1" applyFill="1" applyBorder="1" applyAlignment="1" applyProtection="1">
      <alignment horizontal="center" vertical="center" wrapText="1"/>
      <protection locked="0"/>
    </xf>
    <xf numFmtId="164" fontId="5" fillId="0" borderId="7" xfId="0" applyNumberFormat="1" applyFont="1" applyFill="1" applyBorder="1" applyAlignment="1" applyProtection="1">
      <alignment horizontal="center" vertical="center" wrapText="1"/>
      <protection locked="0"/>
    </xf>
    <xf numFmtId="10" fontId="5" fillId="0" borderId="6"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2" fontId="5" fillId="0" borderId="0" xfId="0" applyNumberFormat="1" applyFont="1" applyFill="1" applyBorder="1" applyAlignment="1" applyProtection="1">
      <alignment horizontal="center" vertical="center" wrapText="1"/>
      <protection locked="0"/>
    </xf>
    <xf numFmtId="164" fontId="5" fillId="0" borderId="0" xfId="0" applyNumberFormat="1" applyFont="1" applyFill="1" applyBorder="1" applyAlignment="1" applyProtection="1">
      <alignment horizontal="center" vertical="center" wrapText="1"/>
      <protection locked="0"/>
    </xf>
    <xf numFmtId="10" fontId="5" fillId="0" borderId="0" xfId="0" applyNumberFormat="1" applyFont="1" applyFill="1" applyBorder="1" applyAlignment="1" applyProtection="1">
      <alignment horizontal="center" vertical="center" wrapText="1"/>
      <protection locked="0"/>
    </xf>
    <xf numFmtId="0" fontId="9" fillId="0" borderId="14" xfId="0" applyFont="1" applyFill="1" applyBorder="1" applyAlignment="1" applyProtection="1">
      <alignment horizontal="justify" vertical="center" wrapText="1"/>
      <protection locked="0"/>
    </xf>
    <xf numFmtId="0" fontId="4" fillId="0" borderId="15" xfId="0" applyFont="1" applyFill="1" applyBorder="1" applyAlignment="1" applyProtection="1">
      <alignment horizontal="center" vertical="center" wrapText="1"/>
      <protection locked="0"/>
    </xf>
    <xf numFmtId="2" fontId="4" fillId="0" borderId="17" xfId="0" applyNumberFormat="1" applyFont="1" applyFill="1" applyBorder="1" applyAlignment="1" applyProtection="1">
      <alignment horizontal="center" vertical="center" wrapText="1"/>
      <protection locked="0"/>
    </xf>
    <xf numFmtId="164" fontId="4" fillId="0" borderId="16" xfId="0" applyNumberFormat="1" applyFont="1" applyFill="1" applyBorder="1" applyAlignment="1" applyProtection="1">
      <alignment horizontal="center" vertical="center" wrapText="1"/>
      <protection locked="0"/>
    </xf>
    <xf numFmtId="164" fontId="4" fillId="0" borderId="17" xfId="0" applyNumberFormat="1" applyFont="1" applyFill="1" applyBorder="1" applyAlignment="1" applyProtection="1">
      <alignment horizontal="center" vertical="center" wrapText="1"/>
      <protection locked="0"/>
    </xf>
    <xf numFmtId="10" fontId="4" fillId="0" borderId="16" xfId="0" applyNumberFormat="1" applyFont="1" applyFill="1" applyBorder="1" applyAlignment="1" applyProtection="1">
      <alignment horizontal="center" vertical="center" wrapText="1"/>
      <protection locked="0"/>
    </xf>
    <xf numFmtId="2" fontId="4" fillId="0" borderId="11" xfId="0" applyNumberFormat="1" applyFont="1" applyFill="1" applyBorder="1" applyAlignment="1" applyProtection="1">
      <alignment horizontal="center" vertical="center" wrapText="1"/>
      <protection locked="0"/>
    </xf>
    <xf numFmtId="164" fontId="4" fillId="0" borderId="10" xfId="0" applyNumberFormat="1" applyFont="1" applyFill="1" applyBorder="1" applyAlignment="1" applyProtection="1">
      <alignment horizontal="center" vertical="center" wrapText="1"/>
      <protection locked="0"/>
    </xf>
    <xf numFmtId="164" fontId="4" fillId="0" borderId="11" xfId="0" applyNumberFormat="1" applyFont="1" applyFill="1" applyBorder="1" applyAlignment="1" applyProtection="1">
      <alignment horizontal="center" vertical="center" wrapText="1"/>
      <protection locked="0"/>
    </xf>
    <xf numFmtId="10" fontId="4" fillId="0" borderId="10" xfId="0" applyNumberFormat="1" applyFont="1" applyFill="1" applyBorder="1" applyAlignment="1" applyProtection="1">
      <alignment horizontal="center" vertical="center" wrapText="1"/>
      <protection locked="0"/>
    </xf>
    <xf numFmtId="0" fontId="7" fillId="0" borderId="8" xfId="0" applyFont="1" applyFill="1" applyBorder="1" applyAlignment="1" applyProtection="1">
      <alignment horizontal="justify" vertical="center" wrapText="1"/>
      <protection locked="0"/>
    </xf>
    <xf numFmtId="164" fontId="4" fillId="0" borderId="11" xfId="0" applyNumberFormat="1" applyFont="1" applyBorder="1" applyAlignment="1" applyProtection="1">
      <alignment horizontal="center" vertical="center" wrapText="1"/>
      <protection locked="0"/>
    </xf>
    <xf numFmtId="0" fontId="3" fillId="2" borderId="8" xfId="0" applyFont="1" applyFill="1" applyBorder="1" applyAlignment="1" applyProtection="1">
      <alignment horizontal="justify" vertical="center" wrapText="1"/>
      <protection locked="0"/>
    </xf>
    <xf numFmtId="10" fontId="3" fillId="0" borderId="9" xfId="0" applyNumberFormat="1" applyFont="1" applyBorder="1" applyAlignment="1" applyProtection="1">
      <alignment horizontal="center" vertical="center" wrapText="1"/>
      <protection locked="0"/>
    </xf>
    <xf numFmtId="164" fontId="4" fillId="0" borderId="12" xfId="0" applyNumberFormat="1" applyFont="1" applyBorder="1" applyAlignment="1" applyProtection="1">
      <alignment horizontal="center" vertical="center" wrapText="1"/>
      <protection locked="0"/>
    </xf>
    <xf numFmtId="10" fontId="4" fillId="0" borderId="12" xfId="0" applyNumberFormat="1" applyFont="1" applyBorder="1" applyAlignment="1" applyProtection="1">
      <alignment horizontal="center" vertical="center" wrapText="1"/>
      <protection locked="0"/>
    </xf>
    <xf numFmtId="0" fontId="10" fillId="0" borderId="8" xfId="0" applyFont="1" applyBorder="1" applyAlignment="1" applyProtection="1">
      <alignment horizontal="justify" vertical="center" wrapText="1"/>
      <protection locked="0"/>
    </xf>
    <xf numFmtId="2" fontId="3" fillId="0" borderId="11" xfId="0" applyNumberFormat="1" applyFont="1" applyBorder="1" applyAlignment="1" applyProtection="1">
      <alignment horizontal="center" vertical="center" wrapText="1"/>
      <protection locked="0"/>
    </xf>
    <xf numFmtId="10" fontId="3" fillId="0" borderId="0" xfId="0" applyNumberFormat="1" applyFont="1" applyBorder="1" applyAlignment="1" applyProtection="1">
      <alignment horizontal="center" vertical="center" wrapText="1"/>
      <protection locked="0"/>
    </xf>
    <xf numFmtId="1" fontId="4" fillId="0" borderId="11" xfId="0" applyNumberFormat="1" applyFont="1" applyBorder="1" applyAlignment="1">
      <alignment horizontal="center" vertical="center" wrapText="1"/>
    </xf>
    <xf numFmtId="0" fontId="4" fillId="0" borderId="8" xfId="0" applyFont="1" applyBorder="1" applyAlignment="1" applyProtection="1">
      <alignment horizontal="right" vertical="center" wrapText="1"/>
      <protection locked="0"/>
    </xf>
    <xf numFmtId="2" fontId="4" fillId="0" borderId="23" xfId="0" applyNumberFormat="1" applyFont="1" applyBorder="1" applyAlignment="1">
      <alignment horizontal="center" vertical="center" wrapText="1"/>
    </xf>
    <xf numFmtId="10" fontId="4" fillId="0" borderId="13" xfId="0" applyNumberFormat="1" applyFont="1" applyBorder="1" applyAlignment="1">
      <alignment horizontal="center" vertical="center"/>
    </xf>
    <xf numFmtId="10" fontId="4" fillId="0" borderId="0" xfId="0" applyNumberFormat="1" applyFont="1" applyBorder="1" applyAlignment="1">
      <alignment horizontal="center" vertical="center"/>
    </xf>
    <xf numFmtId="0" fontId="3" fillId="0" borderId="8" xfId="0" applyFont="1" applyBorder="1" applyAlignment="1" applyProtection="1">
      <alignment horizontal="right" vertical="center" wrapText="1"/>
      <protection locked="0"/>
    </xf>
    <xf numFmtId="2" fontId="4" fillId="0" borderId="11" xfId="0" applyNumberFormat="1" applyFont="1" applyFill="1" applyBorder="1" applyAlignment="1">
      <alignment horizontal="center" vertical="center" wrapText="1"/>
    </xf>
    <xf numFmtId="10" fontId="4" fillId="0" borderId="0" xfId="0" applyNumberFormat="1" applyFont="1" applyFill="1" applyBorder="1" applyAlignment="1" applyProtection="1">
      <alignment horizontal="center" vertical="center" wrapText="1"/>
      <protection locked="0"/>
    </xf>
    <xf numFmtId="0" fontId="4" fillId="0" borderId="0" xfId="0" applyFont="1" applyFill="1" applyAlignment="1" applyProtection="1">
      <alignment horizontal="justify" vertical="center" wrapText="1"/>
      <protection locked="0"/>
    </xf>
    <xf numFmtId="0" fontId="4" fillId="0" borderId="0" xfId="0" applyFont="1" applyFill="1" applyAlignment="1" applyProtection="1">
      <alignment horizontal="center" vertical="center" wrapText="1"/>
      <protection locked="0"/>
    </xf>
    <xf numFmtId="164" fontId="4" fillId="0" borderId="0" xfId="0" applyNumberFormat="1" applyFont="1" applyFill="1" applyAlignment="1" applyProtection="1">
      <alignment horizontal="center" vertical="center" wrapText="1"/>
      <protection locked="0"/>
    </xf>
    <xf numFmtId="0" fontId="10" fillId="0" borderId="8" xfId="0" applyFont="1" applyFill="1" applyBorder="1" applyAlignment="1" applyProtection="1">
      <alignment horizontal="justify" vertical="center" wrapText="1"/>
      <protection locked="0"/>
    </xf>
    <xf numFmtId="10" fontId="4" fillId="0" borderId="0" xfId="0" applyNumberFormat="1" applyFont="1" applyAlignment="1" applyProtection="1">
      <alignment horizontal="center" vertical="center" wrapText="1"/>
      <protection locked="0"/>
    </xf>
    <xf numFmtId="0" fontId="4" fillId="0" borderId="8" xfId="0" applyFont="1" applyBorder="1" applyAlignment="1" applyProtection="1">
      <alignment horizontal="left" vertical="center" wrapText="1"/>
      <protection locked="0"/>
    </xf>
    <xf numFmtId="0" fontId="3" fillId="0" borderId="8" xfId="0" applyFont="1" applyFill="1" applyBorder="1" applyAlignment="1" applyProtection="1">
      <alignment horizontal="justify" vertical="center" wrapText="1"/>
      <protection locked="0"/>
    </xf>
    <xf numFmtId="0" fontId="4" fillId="0" borderId="8" xfId="0" applyFont="1" applyFill="1" applyBorder="1" applyAlignment="1" applyProtection="1">
      <alignment horizontal="right" vertical="center" wrapText="1"/>
      <protection locked="0"/>
    </xf>
    <xf numFmtId="2" fontId="4" fillId="0" borderId="0" xfId="0" applyNumberFormat="1" applyFont="1" applyFill="1" applyAlignment="1">
      <alignment horizontal="center" vertical="center" wrapText="1"/>
    </xf>
    <xf numFmtId="10" fontId="4" fillId="0" borderId="0" xfId="0" applyNumberFormat="1" applyFont="1" applyFill="1" applyAlignment="1">
      <alignment horizontal="center" vertical="center" wrapText="1"/>
    </xf>
    <xf numFmtId="0" fontId="3" fillId="0" borderId="1" xfId="0" applyFont="1" applyBorder="1" applyAlignment="1" applyProtection="1">
      <alignment horizontal="right" vertical="center" wrapText="1"/>
      <protection locked="0"/>
    </xf>
    <xf numFmtId="0" fontId="3" fillId="0" borderId="20" xfId="0" applyFont="1" applyBorder="1" applyAlignment="1" applyProtection="1">
      <alignment horizontal="center" vertical="center" wrapText="1"/>
      <protection locked="0"/>
    </xf>
    <xf numFmtId="2" fontId="3" fillId="0" borderId="21" xfId="0" applyNumberFormat="1" applyFont="1" applyBorder="1" applyAlignment="1">
      <alignment horizontal="center" vertical="center" wrapText="1"/>
    </xf>
    <xf numFmtId="164" fontId="3" fillId="0" borderId="22" xfId="0" applyNumberFormat="1" applyFont="1" applyBorder="1" applyAlignment="1" applyProtection="1">
      <alignment horizontal="center" vertical="center" wrapText="1"/>
      <protection locked="0"/>
    </xf>
    <xf numFmtId="44" fontId="3" fillId="0" borderId="21" xfId="0" applyNumberFormat="1" applyFont="1" applyBorder="1" applyAlignment="1">
      <alignment horizontal="center" vertical="center" wrapText="1"/>
    </xf>
    <xf numFmtId="10" fontId="3" fillId="0" borderId="22" xfId="0" applyNumberFormat="1" applyFont="1" applyBorder="1" applyAlignment="1" applyProtection="1">
      <alignment horizontal="center" vertical="center" wrapText="1"/>
      <protection locked="0"/>
    </xf>
    <xf numFmtId="0" fontId="3" fillId="0" borderId="0" xfId="0" applyFont="1" applyBorder="1" applyAlignment="1" applyProtection="1">
      <alignment horizontal="right" vertical="center" wrapText="1"/>
      <protection locked="0"/>
    </xf>
    <xf numFmtId="2" fontId="3" fillId="0" borderId="0" xfId="0" applyNumberFormat="1" applyFont="1" applyBorder="1" applyAlignment="1">
      <alignment horizontal="center" vertical="center" wrapText="1"/>
    </xf>
    <xf numFmtId="44" fontId="3" fillId="0" borderId="0" xfId="0" applyNumberFormat="1" applyFont="1" applyBorder="1" applyAlignment="1">
      <alignment horizontal="center" vertical="center" wrapText="1"/>
    </xf>
    <xf numFmtId="2" fontId="3" fillId="0" borderId="0" xfId="0" applyNumberFormat="1" applyFont="1" applyAlignment="1" applyProtection="1">
      <alignment horizontal="left" vertical="center" wrapText="1"/>
      <protection locked="0"/>
    </xf>
    <xf numFmtId="2" fontId="4" fillId="0" borderId="33" xfId="0" applyNumberFormat="1" applyFont="1" applyBorder="1" applyAlignment="1">
      <alignment horizontal="center"/>
    </xf>
    <xf numFmtId="2" fontId="4" fillId="0" borderId="0" xfId="0" applyNumberFormat="1" applyFont="1" applyBorder="1" applyAlignment="1">
      <alignment horizontal="center"/>
    </xf>
    <xf numFmtId="0" fontId="4" fillId="0" borderId="33" xfId="0" applyFont="1" applyBorder="1" applyAlignment="1">
      <alignment horizontal="center"/>
    </xf>
    <xf numFmtId="0" fontId="4" fillId="0" borderId="0" xfId="0" applyFont="1" applyBorder="1" applyAlignment="1">
      <alignment horizontal="center"/>
    </xf>
    <xf numFmtId="0" fontId="4" fillId="0" borderId="27" xfId="0" applyFont="1" applyBorder="1" applyAlignment="1">
      <alignment horizontal="center"/>
    </xf>
    <xf numFmtId="0" fontId="4" fillId="0" borderId="0" xfId="0" applyFont="1" applyAlignment="1">
      <alignment horizontal="center"/>
    </xf>
    <xf numFmtId="2" fontId="4" fillId="0" borderId="34" xfId="0" applyNumberFormat="1" applyFont="1" applyBorder="1" applyAlignment="1">
      <alignment horizontal="center"/>
    </xf>
    <xf numFmtId="2" fontId="4" fillId="0" borderId="25" xfId="0" applyNumberFormat="1" applyFont="1" applyBorder="1" applyAlignment="1">
      <alignment horizontal="center"/>
    </xf>
    <xf numFmtId="0" fontId="3" fillId="0" borderId="35" xfId="0" applyFont="1" applyBorder="1" applyAlignment="1" applyProtection="1">
      <alignment horizontal="right" vertical="center" wrapText="1"/>
      <protection locked="0"/>
    </xf>
    <xf numFmtId="164" fontId="3" fillId="0" borderId="26" xfId="0" applyNumberFormat="1" applyFont="1" applyBorder="1" applyAlignment="1" applyProtection="1">
      <alignment horizontal="center" vertical="center" wrapText="1"/>
      <protection locked="0"/>
    </xf>
    <xf numFmtId="44" fontId="4" fillId="0" borderId="0" xfId="0" applyNumberFormat="1" applyFont="1" applyBorder="1" applyAlignment="1">
      <alignment horizontal="center" vertical="center" wrapText="1"/>
    </xf>
    <xf numFmtId="0" fontId="7" fillId="0" borderId="8" xfId="0" applyFont="1" applyBorder="1" applyAlignment="1" applyProtection="1">
      <alignment horizontal="justify" vertical="center" wrapText="1"/>
      <protection locked="0"/>
    </xf>
    <xf numFmtId="164" fontId="5" fillId="0" borderId="0" xfId="0" applyNumberFormat="1" applyFont="1" applyAlignment="1">
      <alignment horizontal="center" vertical="center" wrapText="1"/>
    </xf>
    <xf numFmtId="0" fontId="4" fillId="0" borderId="0" xfId="0" quotePrefix="1" applyFont="1" applyFill="1" applyAlignment="1">
      <alignment horizontal="right" vertical="center" wrapText="1"/>
    </xf>
    <xf numFmtId="44" fontId="4" fillId="0" borderId="0" xfId="0" applyNumberFormat="1" applyFont="1" applyAlignment="1">
      <alignment horizontal="justify" vertical="center" wrapText="1"/>
    </xf>
    <xf numFmtId="0" fontId="3" fillId="0" borderId="0" xfId="0" applyFont="1" applyBorder="1"/>
    <xf numFmtId="0" fontId="4" fillId="0" borderId="0" xfId="0" applyFont="1" applyBorder="1" applyAlignment="1">
      <alignment horizontal="left"/>
    </xf>
    <xf numFmtId="0" fontId="4" fillId="0" borderId="0" xfId="0" applyFont="1" applyBorder="1"/>
    <xf numFmtId="0" fontId="4" fillId="0" borderId="33" xfId="0" quotePrefix="1" applyFont="1" applyBorder="1" applyAlignment="1">
      <alignment horizontal="center"/>
    </xf>
    <xf numFmtId="0" fontId="4" fillId="0" borderId="27" xfId="0" applyFont="1" applyBorder="1"/>
    <xf numFmtId="0" fontId="4" fillId="0" borderId="28" xfId="0" applyFont="1" applyBorder="1" applyAlignment="1">
      <alignment horizontal="center"/>
    </xf>
    <xf numFmtId="0" fontId="4" fillId="0" borderId="25" xfId="0" applyFont="1" applyBorder="1"/>
    <xf numFmtId="0" fontId="4" fillId="0" borderId="34" xfId="0" applyFont="1" applyBorder="1" applyAlignment="1">
      <alignment horizontal="center"/>
    </xf>
    <xf numFmtId="0" fontId="4" fillId="0" borderId="33" xfId="0" applyFont="1" applyBorder="1"/>
    <xf numFmtId="2" fontId="4" fillId="0" borderId="34" xfId="0" applyNumberFormat="1" applyFont="1" applyBorder="1"/>
    <xf numFmtId="2" fontId="4" fillId="0" borderId="25" xfId="0" applyNumberFormat="1" applyFont="1" applyBorder="1"/>
    <xf numFmtId="2" fontId="4" fillId="0" borderId="28" xfId="0" applyNumberFormat="1" applyFont="1" applyBorder="1"/>
    <xf numFmtId="0" fontId="4" fillId="0" borderId="0" xfId="0" applyFont="1" applyFill="1" applyBorder="1"/>
    <xf numFmtId="0" fontId="4" fillId="0" borderId="27" xfId="0" applyFont="1" applyFill="1" applyBorder="1"/>
    <xf numFmtId="0" fontId="4" fillId="0" borderId="33" xfId="0" applyFont="1" applyFill="1" applyBorder="1"/>
    <xf numFmtId="2" fontId="4" fillId="0" borderId="0" xfId="0" quotePrefix="1" applyNumberFormat="1" applyFont="1" applyBorder="1" applyAlignment="1">
      <alignment horizontal="center"/>
    </xf>
    <xf numFmtId="2" fontId="4" fillId="0" borderId="33" xfId="0" quotePrefix="1" applyNumberFormat="1" applyFont="1" applyBorder="1" applyAlignment="1">
      <alignment horizontal="center"/>
    </xf>
    <xf numFmtId="2" fontId="4" fillId="0" borderId="27" xfId="0" quotePrefix="1" applyNumberFormat="1" applyFont="1" applyBorder="1" applyAlignment="1">
      <alignment horizontal="center"/>
    </xf>
    <xf numFmtId="2" fontId="4" fillId="0" borderId="0" xfId="0" applyNumberFormat="1" applyFont="1"/>
    <xf numFmtId="0" fontId="9" fillId="0" borderId="8" xfId="0" applyFont="1" applyBorder="1" applyAlignment="1" applyProtection="1">
      <alignment horizontal="justify" vertical="center" wrapText="1"/>
      <protection locked="0"/>
    </xf>
    <xf numFmtId="0" fontId="13" fillId="0" borderId="8" xfId="0" applyFont="1" applyBorder="1" applyAlignment="1" applyProtection="1">
      <alignment horizontal="justify" vertical="center" wrapText="1"/>
      <protection locked="0"/>
    </xf>
    <xf numFmtId="0" fontId="11" fillId="0" borderId="8" xfId="0" applyFont="1" applyBorder="1" applyAlignment="1" applyProtection="1">
      <alignment horizontal="right" vertical="center" wrapText="1"/>
      <protection locked="0"/>
    </xf>
    <xf numFmtId="0" fontId="3" fillId="0" borderId="0" xfId="0" applyFont="1" applyFill="1" applyAlignment="1">
      <alignment horizontal="right" vertical="center" wrapText="1"/>
    </xf>
    <xf numFmtId="164" fontId="3" fillId="0" borderId="0" xfId="0" applyNumberFormat="1" applyFont="1" applyAlignment="1">
      <alignment horizontal="center" vertical="center" wrapText="1"/>
    </xf>
    <xf numFmtId="0" fontId="15" fillId="0" borderId="48" xfId="0" applyFont="1" applyBorder="1" applyAlignment="1">
      <alignment horizontal="left" vertical="center" wrapText="1"/>
    </xf>
    <xf numFmtId="164" fontId="14" fillId="0" borderId="48" xfId="1" applyNumberFormat="1" applyFont="1" applyBorder="1" applyAlignment="1">
      <alignment horizontal="right" vertical="center" wrapText="1"/>
    </xf>
    <xf numFmtId="164" fontId="4" fillId="0" borderId="24" xfId="0" applyNumberFormat="1" applyFont="1" applyBorder="1" applyAlignment="1">
      <alignment horizontal="center" vertical="center" wrapText="1"/>
    </xf>
    <xf numFmtId="164" fontId="4" fillId="0" borderId="18" xfId="0" applyNumberFormat="1" applyFont="1" applyBorder="1" applyAlignment="1" applyProtection="1">
      <alignment horizontal="center" vertical="center" wrapText="1"/>
      <protection locked="0"/>
    </xf>
    <xf numFmtId="10" fontId="4" fillId="0" borderId="18" xfId="0" applyNumberFormat="1" applyFont="1" applyBorder="1" applyAlignment="1" applyProtection="1">
      <alignment horizontal="center" vertical="center" wrapText="1"/>
      <protection locked="0"/>
    </xf>
    <xf numFmtId="0" fontId="5" fillId="0" borderId="24" xfId="0" applyFont="1" applyFill="1" applyBorder="1" applyAlignment="1" applyProtection="1">
      <alignment horizontal="center" vertical="center" wrapText="1"/>
      <protection locked="0"/>
    </xf>
    <xf numFmtId="10" fontId="14" fillId="0" borderId="48" xfId="0" applyNumberFormat="1" applyFont="1" applyBorder="1" applyAlignment="1">
      <alignment horizontal="right" vertical="center" wrapText="1"/>
    </xf>
    <xf numFmtId="10" fontId="14" fillId="0" borderId="49" xfId="0" applyNumberFormat="1" applyFont="1" applyBorder="1" applyAlignment="1">
      <alignment horizontal="right" vertical="center" wrapText="1"/>
    </xf>
    <xf numFmtId="0" fontId="15" fillId="0" borderId="55" xfId="0" applyFont="1" applyBorder="1" applyAlignment="1">
      <alignment horizontal="left" vertical="center" wrapText="1"/>
    </xf>
    <xf numFmtId="164" fontId="14" fillId="0" borderId="55" xfId="1" applyNumberFormat="1" applyFont="1" applyBorder="1" applyAlignment="1">
      <alignment horizontal="right" vertical="center" wrapText="1"/>
    </xf>
    <xf numFmtId="10" fontId="14" fillId="0" borderId="55" xfId="0" applyNumberFormat="1" applyFont="1" applyBorder="1" applyAlignment="1">
      <alignment horizontal="right" vertical="center" wrapText="1"/>
    </xf>
    <xf numFmtId="10" fontId="14" fillId="0" borderId="58" xfId="0" applyNumberFormat="1" applyFont="1" applyBorder="1" applyAlignment="1">
      <alignment horizontal="right" vertical="center" wrapText="1"/>
    </xf>
    <xf numFmtId="0" fontId="16" fillId="0" borderId="0" xfId="0" applyFont="1"/>
    <xf numFmtId="0" fontId="16" fillId="0" borderId="0" xfId="0" applyFont="1" applyAlignment="1">
      <alignment wrapText="1"/>
    </xf>
    <xf numFmtId="0" fontId="16" fillId="0" borderId="2" xfId="0" applyFont="1" applyBorder="1" applyAlignment="1">
      <alignment horizontal="center" vertical="center" wrapText="1"/>
    </xf>
    <xf numFmtId="0" fontId="16" fillId="0" borderId="41" xfId="0" applyFont="1" applyBorder="1" applyAlignment="1">
      <alignment horizontal="center" vertical="center" wrapText="1"/>
    </xf>
    <xf numFmtId="0" fontId="18" fillId="0" borderId="41" xfId="0" applyFont="1" applyBorder="1" applyAlignment="1">
      <alignment horizontal="left" vertical="center" wrapText="1"/>
    </xf>
    <xf numFmtId="164" fontId="16" fillId="0" borderId="41" xfId="1" applyNumberFormat="1" applyFont="1" applyBorder="1" applyAlignment="1">
      <alignment horizontal="right" vertical="center" wrapText="1"/>
    </xf>
    <xf numFmtId="10" fontId="16" fillId="0" borderId="41" xfId="0" applyNumberFormat="1" applyFont="1" applyBorder="1" applyAlignment="1">
      <alignment horizontal="right" vertical="center" wrapText="1"/>
    </xf>
    <xf numFmtId="10" fontId="16" fillId="0" borderId="4" xfId="0" applyNumberFormat="1" applyFont="1" applyBorder="1" applyAlignment="1">
      <alignment horizontal="right" vertical="center" wrapText="1"/>
    </xf>
    <xf numFmtId="44" fontId="16" fillId="0" borderId="0" xfId="0" applyNumberFormat="1" applyFont="1"/>
    <xf numFmtId="9" fontId="16" fillId="0" borderId="0" xfId="2" applyFont="1"/>
    <xf numFmtId="167" fontId="19" fillId="0" borderId="1" xfId="0" applyNumberFormat="1" applyFont="1" applyBorder="1" applyAlignment="1">
      <alignment horizontal="right" vertical="center" wrapText="1"/>
    </xf>
    <xf numFmtId="10" fontId="19" fillId="0" borderId="1" xfId="2" applyNumberFormat="1" applyFont="1" applyBorder="1" applyAlignment="1">
      <alignment horizontal="right" vertical="center" wrapText="1"/>
    </xf>
    <xf numFmtId="44" fontId="19" fillId="0" borderId="1" xfId="0" applyNumberFormat="1" applyFont="1" applyBorder="1" applyAlignment="1">
      <alignment horizontal="right" vertical="center" wrapText="1"/>
    </xf>
    <xf numFmtId="0" fontId="16" fillId="0" borderId="0" xfId="0" applyFont="1" applyAlignment="1">
      <alignment horizontal="left"/>
    </xf>
    <xf numFmtId="0" fontId="20" fillId="0" borderId="41" xfId="0" applyFont="1" applyBorder="1" applyAlignment="1">
      <alignment horizontal="center" vertical="center" wrapText="1"/>
    </xf>
    <xf numFmtId="0" fontId="16" fillId="0" borderId="4" xfId="0" applyFont="1" applyBorder="1" applyAlignment="1">
      <alignment horizontal="center" vertical="center" wrapText="1"/>
    </xf>
    <xf numFmtId="164" fontId="16" fillId="0" borderId="42" xfId="0" applyNumberFormat="1" applyFont="1" applyBorder="1" applyAlignment="1">
      <alignment horizontal="right" vertical="center" wrapText="1"/>
    </xf>
    <xf numFmtId="10" fontId="16" fillId="0" borderId="42" xfId="0" applyNumberFormat="1" applyFont="1" applyBorder="1" applyAlignment="1">
      <alignment horizontal="right" vertical="center" wrapText="1"/>
    </xf>
    <xf numFmtId="164" fontId="16" fillId="0" borderId="48" xfId="0" applyNumberFormat="1" applyFont="1" applyBorder="1" applyAlignment="1">
      <alignment horizontal="right" vertical="center" wrapText="1"/>
    </xf>
    <xf numFmtId="10" fontId="16" fillId="0" borderId="7" xfId="0" applyNumberFormat="1" applyFont="1" applyBorder="1" applyAlignment="1">
      <alignment horizontal="right" vertical="center" wrapText="1"/>
    </xf>
    <xf numFmtId="0" fontId="16" fillId="0" borderId="50" xfId="0" applyFont="1" applyBorder="1" applyAlignment="1">
      <alignment horizontal="center" vertical="center" wrapText="1"/>
    </xf>
    <xf numFmtId="0" fontId="16" fillId="0" borderId="51" xfId="0" applyFont="1" applyBorder="1" applyAlignment="1">
      <alignment horizontal="center" vertical="center" wrapText="1"/>
    </xf>
    <xf numFmtId="0" fontId="18" fillId="0" borderId="51" xfId="0" applyFont="1" applyBorder="1" applyAlignment="1">
      <alignment horizontal="left" vertical="center" wrapText="1"/>
    </xf>
    <xf numFmtId="164" fontId="16" fillId="0" borderId="51" xfId="1" applyNumberFormat="1" applyFont="1" applyBorder="1" applyAlignment="1">
      <alignment horizontal="right" vertical="center" wrapText="1"/>
    </xf>
    <xf numFmtId="10" fontId="16" fillId="0" borderId="51" xfId="0" applyNumberFormat="1" applyFont="1" applyBorder="1" applyAlignment="1">
      <alignment horizontal="right" vertical="center" wrapText="1"/>
    </xf>
    <xf numFmtId="10" fontId="16" fillId="0" borderId="52" xfId="0" applyNumberFormat="1" applyFont="1" applyBorder="1" applyAlignment="1">
      <alignment horizontal="right" vertical="center" wrapText="1"/>
    </xf>
    <xf numFmtId="0" fontId="16" fillId="0" borderId="44"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59" xfId="0" applyFont="1" applyBorder="1" applyAlignment="1">
      <alignment horizontal="center" vertical="center" wrapText="1"/>
    </xf>
    <xf numFmtId="0" fontId="16" fillId="0" borderId="36"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27" xfId="0" applyFont="1" applyBorder="1" applyAlignment="1">
      <alignment horizontal="center" vertical="center" wrapText="1"/>
    </xf>
    <xf numFmtId="10" fontId="16" fillId="0" borderId="0" xfId="0" applyNumberFormat="1" applyFont="1"/>
    <xf numFmtId="0" fontId="16" fillId="0" borderId="9" xfId="0" applyFont="1" applyBorder="1" applyAlignment="1">
      <alignment horizontal="center" vertical="center" wrapText="1"/>
    </xf>
    <xf numFmtId="0" fontId="4" fillId="0" borderId="0" xfId="0" applyFont="1" applyFill="1" applyBorder="1" applyAlignment="1" applyProtection="1">
      <alignment horizontal="justify" vertical="center" wrapText="1"/>
      <protection locked="0"/>
    </xf>
    <xf numFmtId="0" fontId="4" fillId="0" borderId="0" xfId="0" applyFont="1" applyFill="1" applyBorder="1" applyAlignment="1">
      <alignment horizontal="justify" vertical="center" wrapText="1"/>
    </xf>
    <xf numFmtId="44" fontId="4" fillId="0" borderId="0" xfId="0" applyNumberFormat="1"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44" fontId="5" fillId="0" borderId="0" xfId="0" applyNumberFormat="1" applyFont="1" applyFill="1" applyBorder="1" applyAlignment="1" applyProtection="1">
      <alignment horizontal="center" vertical="center" wrapText="1"/>
      <protection locked="0"/>
    </xf>
    <xf numFmtId="44" fontId="4" fillId="0" borderId="0" xfId="0" applyNumberFormat="1" applyFont="1" applyFill="1" applyBorder="1" applyAlignment="1" applyProtection="1">
      <alignment horizontal="justify" vertical="center" wrapText="1"/>
      <protection locked="0"/>
    </xf>
    <xf numFmtId="0" fontId="3" fillId="0" borderId="0" xfId="0" applyFont="1" applyFill="1" applyBorder="1" applyAlignment="1" applyProtection="1">
      <alignment horizontal="justify" vertical="center" wrapText="1"/>
      <protection locked="0"/>
    </xf>
    <xf numFmtId="44" fontId="4" fillId="0" borderId="0" xfId="0" applyNumberFormat="1" applyFont="1" applyFill="1" applyBorder="1" applyAlignment="1">
      <alignment horizontal="justify" vertical="center" wrapText="1"/>
    </xf>
    <xf numFmtId="164" fontId="4" fillId="0" borderId="0" xfId="0" applyNumberFormat="1" applyFont="1" applyFill="1" applyBorder="1" applyAlignment="1">
      <alignment horizontal="center" vertical="center" wrapText="1"/>
    </xf>
    <xf numFmtId="44" fontId="4" fillId="0" borderId="0" xfId="0" applyNumberFormat="1" applyFont="1" applyFill="1" applyBorder="1" applyAlignment="1">
      <alignment horizontal="center" vertical="center" wrapText="1"/>
    </xf>
    <xf numFmtId="44" fontId="4" fillId="0" borderId="0" xfId="0" applyNumberFormat="1"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164" fontId="4" fillId="0" borderId="0" xfId="0" applyNumberFormat="1" applyFont="1" applyFill="1" applyBorder="1" applyAlignment="1" applyProtection="1">
      <alignment horizontal="justify" vertical="center" wrapText="1"/>
      <protection locked="0"/>
    </xf>
    <xf numFmtId="44" fontId="3" fillId="0" borderId="0" xfId="0" applyNumberFormat="1" applyFont="1" applyFill="1" applyBorder="1" applyAlignment="1" applyProtection="1">
      <alignment horizontal="justify" vertical="center" wrapText="1"/>
      <protection locked="0"/>
    </xf>
    <xf numFmtId="0" fontId="4" fillId="0" borderId="0" xfId="0" applyFont="1" applyAlignment="1">
      <alignment horizontal="center"/>
    </xf>
    <xf numFmtId="0" fontId="3" fillId="0" borderId="1" xfId="0" applyFont="1" applyFill="1" applyBorder="1" applyAlignment="1" applyProtection="1">
      <alignment horizontal="center" vertical="top" wrapText="1"/>
      <protection locked="0"/>
    </xf>
    <xf numFmtId="0" fontId="3" fillId="0" borderId="20" xfId="0" applyFont="1" applyFill="1" applyBorder="1" applyAlignment="1" applyProtection="1">
      <alignment horizontal="center" vertical="top" wrapText="1"/>
      <protection locked="0"/>
    </xf>
    <xf numFmtId="0" fontId="3" fillId="0" borderId="0" xfId="0" applyFont="1" applyBorder="1" applyAlignment="1" applyProtection="1">
      <alignment horizontal="center" vertical="top" wrapText="1"/>
      <protection locked="0"/>
    </xf>
    <xf numFmtId="44" fontId="4" fillId="0" borderId="0" xfId="0" applyNumberFormat="1" applyFont="1" applyFill="1" applyBorder="1" applyAlignment="1" applyProtection="1">
      <alignment horizontal="center" vertical="top" wrapText="1"/>
      <protection locked="0"/>
    </xf>
    <xf numFmtId="0" fontId="3" fillId="0" borderId="0" xfId="0" applyFont="1" applyFill="1" applyBorder="1" applyAlignment="1" applyProtection="1">
      <alignment horizontal="center" vertical="top" wrapText="1"/>
      <protection locked="0"/>
    </xf>
    <xf numFmtId="0" fontId="5" fillId="0" borderId="2" xfId="0" applyNumberFormat="1" applyFont="1" applyFill="1" applyBorder="1" applyAlignment="1" applyProtection="1">
      <alignment horizontal="center" vertical="top" wrapText="1"/>
      <protection locked="0"/>
    </xf>
    <xf numFmtId="0" fontId="4" fillId="0" borderId="3" xfId="0" applyFont="1" applyFill="1" applyBorder="1" applyAlignment="1" applyProtection="1">
      <alignment horizontal="center" vertical="top" wrapText="1"/>
      <protection locked="0"/>
    </xf>
    <xf numFmtId="0" fontId="4" fillId="0" borderId="60" xfId="0" applyFont="1" applyFill="1" applyBorder="1" applyAlignment="1" applyProtection="1">
      <alignment horizontal="center" vertical="top" wrapText="1"/>
      <protection locked="0"/>
    </xf>
    <xf numFmtId="0" fontId="4" fillId="0" borderId="0" xfId="0" applyFont="1" applyBorder="1" applyAlignment="1" applyProtection="1">
      <alignment horizontal="center" vertical="top" wrapText="1"/>
      <protection locked="0"/>
    </xf>
    <xf numFmtId="0" fontId="4"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top" wrapText="1"/>
      <protection locked="0"/>
    </xf>
    <xf numFmtId="0" fontId="4" fillId="0" borderId="5" xfId="0" applyFont="1" applyFill="1" applyBorder="1" applyAlignment="1" applyProtection="1">
      <alignment horizontal="center" vertical="top" wrapText="1"/>
      <protection locked="0"/>
    </xf>
    <xf numFmtId="0" fontId="5" fillId="0" borderId="61" xfId="0" applyFont="1" applyFill="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44" fontId="5" fillId="0"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locked="0"/>
    </xf>
    <xf numFmtId="0" fontId="5" fillId="0" borderId="0" xfId="0" applyNumberFormat="1" applyFont="1" applyFill="1" applyBorder="1" applyAlignment="1" applyProtection="1">
      <alignment horizontal="justify" vertical="top" wrapText="1"/>
      <protection locked="0"/>
    </xf>
    <xf numFmtId="0" fontId="5" fillId="0" borderId="22" xfId="0" applyFont="1" applyFill="1" applyBorder="1" applyAlignment="1" applyProtection="1">
      <alignment horizontal="center" vertical="top" wrapText="1"/>
      <protection locked="0"/>
    </xf>
    <xf numFmtId="164" fontId="5" fillId="0" borderId="0" xfId="0" applyNumberFormat="1" applyFont="1" applyFill="1" applyBorder="1" applyAlignment="1" applyProtection="1">
      <alignment horizontal="center" vertical="top" wrapText="1"/>
      <protection locked="0"/>
    </xf>
    <xf numFmtId="0" fontId="5" fillId="0" borderId="14" xfId="0" applyFont="1" applyFill="1" applyBorder="1" applyAlignment="1" applyProtection="1">
      <alignment horizontal="justify" vertical="top" wrapText="1"/>
      <protection locked="0"/>
    </xf>
    <xf numFmtId="0" fontId="5" fillId="0" borderId="14" xfId="0" applyNumberFormat="1" applyFont="1" applyFill="1" applyBorder="1" applyAlignment="1" applyProtection="1">
      <alignment vertical="top" wrapText="1"/>
      <protection locked="0"/>
    </xf>
    <xf numFmtId="0" fontId="9" fillId="0" borderId="14" xfId="0" applyFont="1" applyFill="1" applyBorder="1" applyAlignment="1" applyProtection="1">
      <alignment horizontal="justify" vertical="top" wrapText="1"/>
      <protection locked="0"/>
    </xf>
    <xf numFmtId="0" fontId="4" fillId="0" borderId="15" xfId="0" applyFont="1" applyFill="1" applyBorder="1" applyAlignment="1" applyProtection="1">
      <alignment horizontal="center" vertical="top" wrapText="1"/>
      <protection locked="0"/>
    </xf>
    <xf numFmtId="44" fontId="4" fillId="0" borderId="0" xfId="0" applyNumberFormat="1" applyFont="1" applyFill="1" applyBorder="1" applyAlignment="1" applyProtection="1">
      <alignment horizontal="justify" vertical="top" wrapText="1"/>
      <protection locked="0"/>
    </xf>
    <xf numFmtId="0" fontId="4" fillId="0" borderId="0" xfId="0" applyFont="1" applyFill="1" applyBorder="1" applyAlignment="1" applyProtection="1">
      <alignment horizontal="justify" vertical="top" wrapText="1"/>
      <protection locked="0"/>
    </xf>
    <xf numFmtId="0" fontId="4" fillId="0" borderId="0" xfId="0" applyFont="1" applyAlignment="1" applyProtection="1">
      <alignment horizontal="justify" vertical="top" wrapText="1"/>
      <protection locked="0"/>
    </xf>
    <xf numFmtId="0" fontId="5" fillId="0" borderId="8" xfId="0" applyFont="1" applyFill="1" applyBorder="1" applyAlignment="1" applyProtection="1">
      <alignment horizontal="justify" vertical="top" wrapText="1"/>
      <protection locked="0"/>
    </xf>
    <xf numFmtId="0" fontId="5" fillId="0" borderId="8" xfId="0" applyNumberFormat="1" applyFont="1" applyFill="1" applyBorder="1" applyAlignment="1" applyProtection="1">
      <alignment vertical="top" wrapText="1"/>
      <protection locked="0"/>
    </xf>
    <xf numFmtId="0" fontId="4" fillId="0" borderId="8" xfId="0" applyFont="1" applyFill="1" applyBorder="1" applyAlignment="1" applyProtection="1">
      <alignment horizontal="justify" vertical="top" wrapText="1"/>
      <protection locked="0"/>
    </xf>
    <xf numFmtId="0" fontId="4" fillId="0" borderId="9" xfId="0" applyFont="1" applyFill="1" applyBorder="1" applyAlignment="1" applyProtection="1">
      <alignment horizontal="center" vertical="top" wrapText="1"/>
      <protection locked="0"/>
    </xf>
    <xf numFmtId="0" fontId="7" fillId="0" borderId="8" xfId="0" applyFont="1" applyFill="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4" fillId="0" borderId="9" xfId="0" applyFont="1" applyBorder="1" applyAlignment="1" applyProtection="1">
      <alignment horizontal="center" vertical="top" wrapText="1"/>
      <protection locked="0"/>
    </xf>
    <xf numFmtId="0" fontId="4" fillId="0" borderId="0" xfId="0" applyFont="1" applyAlignment="1">
      <alignment horizontal="justify" vertical="top" wrapText="1"/>
    </xf>
    <xf numFmtId="44" fontId="4" fillId="0" borderId="0" xfId="0" applyNumberFormat="1" applyFont="1" applyFill="1" applyBorder="1" applyAlignment="1">
      <alignment horizontal="justify" vertical="top" wrapText="1"/>
    </xf>
    <xf numFmtId="0" fontId="4" fillId="0" borderId="0" xfId="0" applyFont="1" applyFill="1" applyBorder="1" applyAlignment="1">
      <alignment horizontal="justify" vertical="top" wrapText="1"/>
    </xf>
    <xf numFmtId="0" fontId="12" fillId="0" borderId="8" xfId="0" applyFont="1" applyBorder="1" applyAlignment="1" applyProtection="1">
      <alignment horizontal="justify" vertical="top" wrapText="1"/>
      <protection locked="0"/>
    </xf>
    <xf numFmtId="0" fontId="13" fillId="0" borderId="9" xfId="0" applyFont="1" applyBorder="1" applyAlignment="1" applyProtection="1">
      <alignment horizontal="center" vertical="top" wrapText="1"/>
      <protection locked="0"/>
    </xf>
    <xf numFmtId="0" fontId="13" fillId="0" borderId="8" xfId="0" applyFont="1" applyBorder="1" applyAlignment="1" applyProtection="1">
      <alignment horizontal="justify" vertical="top" wrapText="1"/>
      <protection locked="0"/>
    </xf>
    <xf numFmtId="0" fontId="5" fillId="0" borderId="8" xfId="0" applyFont="1" applyFill="1" applyBorder="1" applyAlignment="1" applyProtection="1">
      <alignment vertical="top" wrapText="1"/>
      <protection locked="0"/>
    </xf>
    <xf numFmtId="0" fontId="4" fillId="0" borderId="0" xfId="0" applyFont="1" applyFill="1" applyAlignment="1" applyProtection="1">
      <alignment horizontal="center" vertical="top" wrapText="1"/>
      <protection locked="0"/>
    </xf>
    <xf numFmtId="0" fontId="4" fillId="0" borderId="0" xfId="0" applyFont="1" applyFill="1" applyAlignment="1" applyProtection="1">
      <alignment horizontal="justify" vertical="top" wrapText="1"/>
      <protection locked="0"/>
    </xf>
    <xf numFmtId="0" fontId="5" fillId="0" borderId="8" xfId="0" applyNumberFormat="1" applyFont="1" applyFill="1" applyBorder="1" applyAlignment="1" applyProtection="1">
      <alignment horizontal="justify" vertical="top" wrapText="1"/>
      <protection locked="0"/>
    </xf>
    <xf numFmtId="0" fontId="4" fillId="0" borderId="8" xfId="0" applyFont="1" applyFill="1" applyBorder="1" applyAlignment="1" applyProtection="1">
      <alignment horizontal="left" vertical="top" wrapText="1"/>
      <protection locked="0"/>
    </xf>
    <xf numFmtId="0" fontId="4" fillId="0" borderId="0" xfId="0" applyFont="1" applyAlignment="1" applyProtection="1">
      <alignment horizontal="center" vertical="top" wrapText="1"/>
      <protection locked="0"/>
    </xf>
    <xf numFmtId="0" fontId="5" fillId="0" borderId="8" xfId="0" applyFont="1" applyFill="1" applyBorder="1" applyAlignment="1">
      <alignment horizontal="justify" vertical="top" wrapText="1"/>
    </xf>
    <xf numFmtId="0" fontId="4" fillId="0" borderId="0" xfId="0" applyFont="1" applyFill="1" applyAlignment="1">
      <alignment horizontal="justify" vertical="top" wrapText="1"/>
    </xf>
    <xf numFmtId="49" fontId="5" fillId="0" borderId="8" xfId="0" applyNumberFormat="1" applyFont="1" applyBorder="1" applyAlignment="1">
      <alignment horizontal="left" vertical="top" wrapText="1"/>
    </xf>
    <xf numFmtId="44" fontId="6" fillId="0" borderId="0" xfId="0" applyNumberFormat="1" applyFont="1" applyFill="1" applyBorder="1" applyAlignment="1">
      <alignment horizontal="center" vertical="top"/>
    </xf>
    <xf numFmtId="0" fontId="6" fillId="0" borderId="0" xfId="0" applyFont="1" applyFill="1" applyBorder="1" applyAlignment="1">
      <alignment vertical="top"/>
    </xf>
    <xf numFmtId="0" fontId="6" fillId="0" borderId="0" xfId="0" applyFont="1" applyAlignment="1">
      <alignment vertical="top"/>
    </xf>
    <xf numFmtId="0" fontId="4" fillId="0" borderId="0" xfId="0" applyFont="1" applyAlignment="1" applyProtection="1">
      <alignment horizontal="right" vertical="top" wrapText="1"/>
      <protection locked="0"/>
    </xf>
    <xf numFmtId="0" fontId="5" fillId="0" borderId="8" xfId="0" applyFont="1" applyBorder="1" applyAlignment="1" applyProtection="1">
      <alignment vertical="top" wrapText="1"/>
      <protection locked="0"/>
    </xf>
    <xf numFmtId="164" fontId="4" fillId="0" borderId="0" xfId="0" applyNumberFormat="1" applyFont="1" applyFill="1" applyAlignment="1" applyProtection="1">
      <alignment horizontal="center" vertical="top" wrapText="1"/>
      <protection locked="0"/>
    </xf>
    <xf numFmtId="0" fontId="4" fillId="0" borderId="8" xfId="0" applyFont="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164" fontId="4" fillId="0" borderId="0" xfId="0" applyNumberFormat="1" applyFont="1" applyFill="1" applyBorder="1" applyAlignment="1">
      <alignment horizontal="center" vertical="top" wrapText="1"/>
    </xf>
    <xf numFmtId="0" fontId="5" fillId="0" borderId="0" xfId="0" applyFont="1" applyFill="1" applyAlignment="1">
      <alignment horizontal="justify" vertical="top" wrapText="1"/>
    </xf>
    <xf numFmtId="0" fontId="5" fillId="0" borderId="0" xfId="0" applyNumberFormat="1" applyFont="1" applyFill="1" applyAlignment="1">
      <alignment horizontal="justify" vertical="top" wrapText="1"/>
    </xf>
    <xf numFmtId="0" fontId="4" fillId="0" borderId="0" xfId="0" applyFont="1" applyAlignment="1">
      <alignment horizontal="center" vertical="top" wrapText="1"/>
    </xf>
    <xf numFmtId="0" fontId="3" fillId="0" borderId="0" xfId="0" applyFont="1" applyFill="1" applyAlignment="1">
      <alignment horizontal="right" vertical="top" wrapText="1"/>
    </xf>
    <xf numFmtId="0" fontId="4" fillId="0" borderId="0" xfId="0" quotePrefix="1" applyFont="1" applyFill="1" applyAlignment="1">
      <alignment horizontal="right" vertical="top" wrapText="1"/>
    </xf>
    <xf numFmtId="44" fontId="4" fillId="0" borderId="0" xfId="0" applyNumberFormat="1" applyFont="1" applyAlignment="1">
      <alignment horizontal="justify" vertical="top" wrapText="1"/>
    </xf>
    <xf numFmtId="0" fontId="3" fillId="0" borderId="20" xfId="0" applyFont="1" applyFill="1" applyBorder="1" applyAlignment="1" applyProtection="1">
      <alignment horizontal="center" vertical="center" wrapText="1"/>
      <protection locked="0"/>
    </xf>
    <xf numFmtId="0" fontId="3" fillId="0" borderId="38" xfId="0" applyFont="1" applyFill="1" applyBorder="1" applyAlignment="1">
      <alignment horizontal="center" vertical="center" wrapText="1"/>
    </xf>
    <xf numFmtId="164" fontId="3" fillId="0" borderId="20" xfId="0" applyNumberFormat="1" applyFont="1" applyFill="1" applyBorder="1" applyAlignment="1" applyProtection="1">
      <alignment horizontal="center" vertical="center" wrapText="1"/>
      <protection locked="0"/>
    </xf>
    <xf numFmtId="164" fontId="3" fillId="0" borderId="38" xfId="0" applyNumberFormat="1" applyFont="1" applyFill="1" applyBorder="1" applyAlignment="1" applyProtection="1">
      <alignment horizontal="center" vertical="center" wrapText="1"/>
      <protection locked="0"/>
    </xf>
    <xf numFmtId="164" fontId="16" fillId="0" borderId="43" xfId="0" applyNumberFormat="1" applyFont="1" applyBorder="1" applyAlignment="1">
      <alignment horizontal="right" vertical="center" wrapText="1"/>
    </xf>
    <xf numFmtId="0" fontId="16" fillId="0" borderId="43" xfId="0" applyFont="1" applyBorder="1" applyAlignment="1">
      <alignment horizontal="left" vertical="center" wrapText="1"/>
    </xf>
    <xf numFmtId="0" fontId="16" fillId="0" borderId="57" xfId="0" applyFont="1" applyBorder="1" applyAlignment="1">
      <alignment horizontal="right" vertical="center" wrapText="1"/>
    </xf>
    <xf numFmtId="0" fontId="16" fillId="0" borderId="58" xfId="0" applyFont="1" applyBorder="1" applyAlignment="1">
      <alignment horizontal="right" vertical="center" wrapText="1"/>
    </xf>
    <xf numFmtId="0" fontId="16" fillId="5" borderId="56" xfId="0" applyFont="1" applyFill="1" applyBorder="1" applyAlignment="1">
      <alignment horizontal="center" vertical="center" wrapText="1"/>
    </xf>
    <xf numFmtId="0" fontId="16" fillId="5" borderId="55" xfId="0" applyFont="1" applyFill="1" applyBorder="1" applyAlignment="1">
      <alignment horizontal="center" vertical="center" wrapText="1"/>
    </xf>
    <xf numFmtId="10" fontId="16" fillId="0" borderId="57" xfId="0" applyNumberFormat="1" applyFont="1" applyBorder="1" applyAlignment="1">
      <alignment horizontal="right" vertical="center" wrapText="1"/>
    </xf>
    <xf numFmtId="10" fontId="16" fillId="0" borderId="58" xfId="0" applyNumberFormat="1" applyFont="1" applyBorder="1" applyAlignment="1">
      <alignment horizontal="right" vertical="center" wrapText="1"/>
    </xf>
    <xf numFmtId="0" fontId="19" fillId="0" borderId="6" xfId="0" applyFont="1" applyBorder="1" applyAlignment="1">
      <alignment horizontal="right" vertical="center" wrapText="1"/>
    </xf>
    <xf numFmtId="0" fontId="19" fillId="0" borderId="4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1" xfId="0" applyFont="1" applyBorder="1" applyAlignment="1">
      <alignment horizontal="left" vertical="center" wrapText="1"/>
    </xf>
    <xf numFmtId="0" fontId="16" fillId="0" borderId="46" xfId="0" applyFont="1" applyBorder="1" applyAlignment="1">
      <alignment horizontal="center" vertical="center" wrapText="1"/>
    </xf>
    <xf numFmtId="0" fontId="16" fillId="5" borderId="55" xfId="0" applyFont="1" applyFill="1" applyBorder="1" applyAlignment="1">
      <alignment horizontal="right" vertical="center" wrapText="1"/>
    </xf>
    <xf numFmtId="0" fontId="16" fillId="5" borderId="43" xfId="0" applyFont="1" applyFill="1" applyBorder="1" applyAlignment="1">
      <alignment horizontal="right" vertical="center" wrapText="1"/>
    </xf>
    <xf numFmtId="0" fontId="16" fillId="0" borderId="43" xfId="0" applyFont="1" applyBorder="1" applyAlignment="1">
      <alignment horizontal="right" vertical="center" wrapText="1"/>
    </xf>
    <xf numFmtId="10" fontId="16" fillId="0" borderId="43" xfId="0" applyNumberFormat="1" applyFont="1" applyBorder="1" applyAlignment="1">
      <alignment horizontal="right" vertical="center" wrapText="1"/>
    </xf>
    <xf numFmtId="0" fontId="17" fillId="4" borderId="20" xfId="0" applyFont="1" applyFill="1" applyBorder="1" applyAlignment="1">
      <alignment horizontal="right" vertical="center" wrapText="1"/>
    </xf>
    <xf numFmtId="0" fontId="17" fillId="4" borderId="22" xfId="0" applyFont="1" applyFill="1" applyBorder="1" applyAlignment="1">
      <alignment horizontal="right" vertical="center" wrapText="1"/>
    </xf>
    <xf numFmtId="0" fontId="16" fillId="0" borderId="4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41" xfId="0" applyFont="1" applyBorder="1" applyAlignment="1">
      <alignment horizontal="center" vertical="center"/>
    </xf>
    <xf numFmtId="0" fontId="16" fillId="0" borderId="4" xfId="0" applyFont="1" applyBorder="1" applyAlignment="1">
      <alignment horizontal="center" vertical="center"/>
    </xf>
    <xf numFmtId="0" fontId="16" fillId="0" borderId="15"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53" xfId="0" applyFont="1" applyBorder="1" applyAlignment="1">
      <alignment horizontal="center" vertical="center" wrapText="1"/>
    </xf>
    <xf numFmtId="0" fontId="16" fillId="0" borderId="54" xfId="0" applyFont="1" applyBorder="1" applyAlignment="1">
      <alignment horizontal="center" vertical="center" wrapText="1"/>
    </xf>
    <xf numFmtId="0" fontId="16" fillId="0" borderId="45" xfId="0" applyFont="1" applyBorder="1" applyAlignment="1">
      <alignment horizontal="center" vertical="center" wrapText="1"/>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9"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24" xfId="0" applyFont="1" applyBorder="1" applyAlignment="1">
      <alignment horizontal="center" vertical="center" wrapText="1"/>
    </xf>
    <xf numFmtId="0" fontId="17" fillId="4" borderId="50" xfId="0" applyFont="1" applyFill="1" applyBorder="1" applyAlignment="1">
      <alignment horizontal="left" vertical="center" wrapText="1"/>
    </xf>
    <xf numFmtId="0" fontId="17" fillId="4" borderId="51" xfId="0" applyFont="1" applyFill="1" applyBorder="1" applyAlignment="1">
      <alignment horizontal="left" vertical="center" wrapText="1"/>
    </xf>
    <xf numFmtId="0" fontId="17" fillId="4" borderId="52" xfId="0" applyFont="1" applyFill="1" applyBorder="1" applyAlignment="1">
      <alignment horizontal="left" vertical="center" wrapText="1"/>
    </xf>
    <xf numFmtId="0" fontId="16" fillId="0" borderId="47" xfId="0" applyFont="1" applyBorder="1" applyAlignment="1">
      <alignment horizontal="center" vertical="center" wrapText="1"/>
    </xf>
    <xf numFmtId="0" fontId="16" fillId="0" borderId="7" xfId="0" applyFont="1" applyBorder="1" applyAlignment="1">
      <alignment horizontal="center" vertical="center" wrapText="1"/>
    </xf>
    <xf numFmtId="0" fontId="4" fillId="0" borderId="33" xfId="0" applyFont="1" applyBorder="1" applyAlignment="1">
      <alignment horizontal="center"/>
    </xf>
    <xf numFmtId="0" fontId="4" fillId="0" borderId="0" xfId="0" applyFont="1" applyBorder="1" applyAlignment="1">
      <alignment horizontal="center"/>
    </xf>
    <xf numFmtId="0" fontId="4" fillId="0" borderId="27" xfId="0" applyFont="1" applyBorder="1" applyAlignment="1">
      <alignment horizontal="center"/>
    </xf>
    <xf numFmtId="0" fontId="4" fillId="0" borderId="0" xfId="0" applyFont="1" applyAlignment="1">
      <alignment horizontal="center"/>
    </xf>
    <xf numFmtId="0" fontId="5" fillId="0" borderId="63" xfId="0" applyFont="1" applyFill="1" applyBorder="1" applyAlignment="1" applyProtection="1">
      <alignment horizontal="justify" vertical="top" wrapText="1"/>
      <protection locked="0"/>
    </xf>
    <xf numFmtId="0" fontId="5" fillId="0" borderId="8" xfId="0" applyFont="1" applyBorder="1" applyAlignment="1" applyProtection="1">
      <alignment horizontal="center" vertical="center" wrapText="1"/>
      <protection locked="0"/>
    </xf>
    <xf numFmtId="168" fontId="21" fillId="0" borderId="0" xfId="0" applyNumberFormat="1" applyFont="1" applyAlignment="1" applyProtection="1">
      <alignment horizontal="center" vertical="center" wrapText="1"/>
      <protection locked="0"/>
    </xf>
    <xf numFmtId="0" fontId="4" fillId="0" borderId="53" xfId="0" applyFont="1" applyFill="1" applyBorder="1" applyAlignment="1" applyProtection="1">
      <alignment horizontal="center" vertical="top" wrapText="1"/>
      <protection locked="0"/>
    </xf>
    <xf numFmtId="164" fontId="4" fillId="0" borderId="14" xfId="0" applyNumberFormat="1" applyFont="1" applyFill="1" applyBorder="1" applyAlignment="1" applyProtection="1">
      <alignment horizontal="center" vertical="top" wrapText="1"/>
      <protection locked="0"/>
    </xf>
    <xf numFmtId="164" fontId="4" fillId="0" borderId="8" xfId="0" applyNumberFormat="1" applyFont="1" applyFill="1" applyBorder="1" applyAlignment="1" applyProtection="1">
      <alignment horizontal="center" vertical="top" wrapText="1"/>
      <protection locked="0"/>
    </xf>
    <xf numFmtId="164" fontId="4" fillId="0" borderId="8" xfId="0" applyNumberFormat="1" applyFont="1" applyBorder="1" applyAlignment="1" applyProtection="1">
      <alignment horizontal="center" vertical="top" wrapText="1"/>
      <protection locked="0"/>
    </xf>
    <xf numFmtId="166" fontId="4" fillId="0" borderId="8" xfId="0" applyNumberFormat="1" applyFont="1" applyBorder="1" applyAlignment="1">
      <alignment horizontal="center" vertical="top"/>
    </xf>
    <xf numFmtId="4" fontId="4" fillId="0" borderId="8" xfId="0" applyNumberFormat="1" applyFont="1" applyBorder="1" applyAlignment="1">
      <alignment horizontal="right" vertical="top"/>
    </xf>
    <xf numFmtId="164" fontId="5" fillId="0" borderId="35" xfId="0" applyNumberFormat="1" applyFont="1" applyFill="1" applyBorder="1" applyAlignment="1" applyProtection="1">
      <alignment horizontal="center" vertical="top" wrapText="1"/>
      <protection locked="0"/>
    </xf>
    <xf numFmtId="164" fontId="3" fillId="0" borderId="1" xfId="0" applyNumberFormat="1" applyFont="1" applyFill="1" applyBorder="1" applyAlignment="1" applyProtection="1">
      <alignment horizontal="center" vertical="top" wrapText="1"/>
      <protection locked="0"/>
    </xf>
    <xf numFmtId="164" fontId="4" fillId="0" borderId="3" xfId="0" applyNumberFormat="1" applyFont="1" applyFill="1" applyBorder="1" applyAlignment="1" applyProtection="1">
      <alignment horizontal="center" vertical="top" wrapText="1"/>
      <protection locked="0"/>
    </xf>
    <xf numFmtId="0" fontId="5" fillId="0" borderId="63" xfId="0" applyNumberFormat="1" applyFont="1" applyFill="1" applyBorder="1" applyAlignment="1" applyProtection="1">
      <alignment vertical="top" wrapText="1"/>
      <protection locked="0"/>
    </xf>
    <xf numFmtId="0" fontId="7" fillId="0" borderId="63" xfId="0" applyFont="1" applyFill="1" applyBorder="1" applyAlignment="1" applyProtection="1">
      <alignment horizontal="justify" vertical="top" wrapText="1"/>
      <protection locked="0"/>
    </xf>
    <xf numFmtId="164" fontId="4" fillId="0" borderId="63" xfId="0" applyNumberFormat="1" applyFont="1" applyFill="1" applyBorder="1" applyAlignment="1" applyProtection="1">
      <alignment horizontal="center" vertical="top" wrapText="1"/>
      <protection locked="0"/>
    </xf>
    <xf numFmtId="0" fontId="5" fillId="0" borderId="8" xfId="0" applyFont="1" applyFill="1" applyBorder="1" applyAlignment="1" applyProtection="1">
      <alignment horizontal="center" vertical="top" wrapText="1"/>
      <protection locked="0"/>
    </xf>
    <xf numFmtId="0" fontId="5" fillId="0" borderId="0" xfId="0" applyNumberFormat="1" applyFont="1" applyFill="1" applyBorder="1" applyAlignment="1" applyProtection="1">
      <alignment horizontal="center" vertical="center" wrapText="1"/>
      <protection locked="0"/>
    </xf>
    <xf numFmtId="0" fontId="5" fillId="0" borderId="14"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wrapText="1"/>
      <protection locked="0"/>
    </xf>
    <xf numFmtId="0" fontId="5" fillId="0" borderId="0" xfId="0" applyNumberFormat="1" applyFont="1" applyFill="1" applyAlignment="1">
      <alignment horizontal="center" vertical="center" wrapText="1"/>
    </xf>
    <xf numFmtId="0" fontId="8" fillId="0" borderId="1"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5" fillId="0" borderId="14"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35" xfId="0" applyFont="1" applyFill="1" applyBorder="1" applyAlignment="1" applyProtection="1">
      <alignment horizontal="center" vertical="center" wrapText="1"/>
      <protection locked="0"/>
    </xf>
    <xf numFmtId="0" fontId="5" fillId="0" borderId="0" xfId="0" applyFont="1" applyFill="1" applyAlignment="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1" fontId="4" fillId="0" borderId="11" xfId="0" applyNumberFormat="1" applyFont="1" applyFill="1" applyBorder="1" applyAlignment="1">
      <alignment horizontal="left" vertical="center" wrapText="1"/>
    </xf>
    <xf numFmtId="164" fontId="4" fillId="0" borderId="0" xfId="0" applyNumberFormat="1" applyFont="1" applyFill="1" applyBorder="1" applyAlignment="1" applyProtection="1">
      <alignment horizontal="left" vertical="center" wrapText="1"/>
      <protection locked="0"/>
    </xf>
    <xf numFmtId="164" fontId="4" fillId="0" borderId="11" xfId="0" applyNumberFormat="1" applyFont="1" applyFill="1" applyBorder="1" applyAlignment="1">
      <alignment horizontal="left" vertical="center" wrapText="1"/>
    </xf>
    <xf numFmtId="10" fontId="4" fillId="0" borderId="0" xfId="0" applyNumberFormat="1" applyFont="1" applyFill="1" applyBorder="1" applyAlignment="1" applyProtection="1">
      <alignment horizontal="left" vertical="center" wrapText="1"/>
      <protection locked="0"/>
    </xf>
    <xf numFmtId="0" fontId="4" fillId="0" borderId="0" xfId="0" applyFont="1" applyFill="1" applyAlignment="1" applyProtection="1">
      <alignment horizontal="left" vertical="center" wrapText="1"/>
      <protection locked="0"/>
    </xf>
    <xf numFmtId="0" fontId="4" fillId="0" borderId="0" xfId="0" applyFont="1" applyFill="1" applyBorder="1" applyAlignment="1" applyProtection="1">
      <alignment horizontal="left" vertical="center" wrapText="1"/>
      <protection locked="0"/>
    </xf>
    <xf numFmtId="0" fontId="4" fillId="0" borderId="19" xfId="0" applyFont="1" applyBorder="1" applyAlignment="1">
      <alignment horizontal="center" vertical="center"/>
    </xf>
    <xf numFmtId="0" fontId="4" fillId="0" borderId="18" xfId="0" applyFont="1" applyBorder="1" applyAlignment="1">
      <alignment horizontal="center" vertical="center"/>
    </xf>
    <xf numFmtId="164" fontId="4" fillId="0" borderId="19" xfId="0" applyNumberFormat="1" applyFont="1" applyBorder="1" applyAlignment="1">
      <alignment horizontal="center" vertical="center"/>
    </xf>
    <xf numFmtId="10" fontId="4" fillId="0" borderId="18" xfId="0" applyNumberFormat="1" applyFont="1" applyBorder="1" applyAlignment="1">
      <alignment horizontal="center" vertical="center"/>
    </xf>
    <xf numFmtId="44" fontId="6"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Alignment="1">
      <alignment vertical="center"/>
    </xf>
    <xf numFmtId="166" fontId="4" fillId="0" borderId="18" xfId="0" applyNumberFormat="1" applyFont="1" applyBorder="1" applyAlignment="1">
      <alignment horizontal="left" vertical="center"/>
    </xf>
    <xf numFmtId="10" fontId="4" fillId="0" borderId="18" xfId="0" applyNumberFormat="1" applyFont="1" applyBorder="1" applyAlignment="1">
      <alignment horizontal="left" vertical="center"/>
    </xf>
    <xf numFmtId="0" fontId="4" fillId="0" borderId="0" xfId="0" applyFont="1" applyAlignment="1" applyProtection="1">
      <alignment horizontal="left" vertical="center" wrapText="1"/>
      <protection locked="0"/>
    </xf>
    <xf numFmtId="44" fontId="6" fillId="0" borderId="0" xfId="0" applyNumberFormat="1"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Alignment="1">
      <alignment horizontal="left" vertical="center"/>
    </xf>
    <xf numFmtId="166" fontId="4" fillId="0" borderId="18" xfId="0" applyNumberFormat="1" applyFont="1" applyBorder="1" applyAlignment="1">
      <alignment horizontal="center" vertical="center"/>
    </xf>
    <xf numFmtId="164" fontId="4" fillId="0" borderId="0" xfId="0" applyNumberFormat="1" applyFont="1" applyFill="1" applyAlignment="1" applyProtection="1">
      <alignment horizontal="left" vertical="center" wrapText="1"/>
      <protection locked="0"/>
    </xf>
    <xf numFmtId="1" fontId="4" fillId="0" borderId="11" xfId="0" applyNumberFormat="1" applyFont="1" applyBorder="1" applyAlignment="1">
      <alignment horizontal="left" vertical="center" wrapText="1"/>
    </xf>
    <xf numFmtId="164" fontId="4" fillId="0" borderId="12" xfId="0" applyNumberFormat="1" applyFont="1" applyBorder="1" applyAlignment="1" applyProtection="1">
      <alignment horizontal="left" vertical="center" wrapText="1"/>
      <protection locked="0"/>
    </xf>
    <xf numFmtId="10" fontId="4" fillId="0" borderId="12" xfId="0" applyNumberFormat="1" applyFont="1" applyBorder="1" applyAlignment="1" applyProtection="1">
      <alignment horizontal="left" vertical="center" wrapText="1"/>
      <protection locked="0"/>
    </xf>
    <xf numFmtId="2" fontId="4" fillId="0" borderId="11" xfId="0" applyNumberFormat="1" applyFont="1" applyFill="1" applyBorder="1" applyAlignment="1">
      <alignment horizontal="left" vertical="center" wrapText="1"/>
    </xf>
    <xf numFmtId="164" fontId="4" fillId="0" borderId="18" xfId="0" applyNumberFormat="1" applyFont="1" applyBorder="1" applyAlignment="1" applyProtection="1">
      <alignment horizontal="left" vertical="center" wrapText="1"/>
      <protection locked="0"/>
    </xf>
    <xf numFmtId="164" fontId="4" fillId="0" borderId="24" xfId="0" applyNumberFormat="1" applyFont="1" applyBorder="1" applyAlignment="1">
      <alignment horizontal="left" vertical="center" wrapText="1"/>
    </xf>
    <xf numFmtId="0" fontId="5" fillId="0" borderId="18" xfId="0" applyFont="1" applyFill="1" applyBorder="1" applyAlignment="1" applyProtection="1">
      <alignment horizontal="left" vertical="center" wrapText="1"/>
      <protection locked="0"/>
    </xf>
    <xf numFmtId="0" fontId="5" fillId="0" borderId="24" xfId="0" applyFont="1" applyFill="1" applyBorder="1" applyAlignment="1" applyProtection="1">
      <alignment horizontal="left" vertical="center" wrapText="1"/>
      <protection locked="0"/>
    </xf>
    <xf numFmtId="0" fontId="4" fillId="0" borderId="0" xfId="0" applyFont="1" applyFill="1" applyAlignment="1">
      <alignment horizontal="left" vertical="center" wrapText="1"/>
    </xf>
    <xf numFmtId="44" fontId="4" fillId="0" borderId="0" xfId="0" applyNumberFormat="1" applyFont="1" applyFill="1" applyBorder="1" applyAlignment="1">
      <alignment horizontal="left" vertical="center" wrapText="1"/>
    </xf>
    <xf numFmtId="0" fontId="4" fillId="0" borderId="0" xfId="0" applyFont="1" applyFill="1" applyBorder="1" applyAlignment="1">
      <alignment horizontal="left" vertical="center" wrapText="1"/>
    </xf>
    <xf numFmtId="10" fontId="3" fillId="0" borderId="62" xfId="0" applyNumberFormat="1" applyFont="1" applyBorder="1" applyAlignment="1" applyProtection="1">
      <alignment horizontal="center" vertical="center" wrapText="1"/>
      <protection locked="0"/>
    </xf>
    <xf numFmtId="2" fontId="4" fillId="0" borderId="19" xfId="0" applyNumberFormat="1" applyFont="1" applyFill="1" applyBorder="1" applyAlignment="1" applyProtection="1">
      <alignment horizontal="center" vertical="center" wrapText="1"/>
      <protection locked="0"/>
    </xf>
    <xf numFmtId="2" fontId="4" fillId="0" borderId="19"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2" fontId="3" fillId="0" borderId="19" xfId="0" applyNumberFormat="1" applyFont="1" applyBorder="1" applyAlignment="1" applyProtection="1">
      <alignment horizontal="center" vertical="center" wrapText="1"/>
      <protection locked="0"/>
    </xf>
    <xf numFmtId="1" fontId="4" fillId="0" borderId="19" xfId="0" applyNumberFormat="1" applyFont="1" applyFill="1" applyBorder="1" applyAlignment="1">
      <alignment horizontal="center" vertical="center" wrapText="1"/>
    </xf>
    <xf numFmtId="1" fontId="4" fillId="0" borderId="19" xfId="0" applyNumberFormat="1" applyFont="1" applyBorder="1" applyAlignment="1">
      <alignment horizontal="center" vertical="center" wrapText="1"/>
    </xf>
    <xf numFmtId="0" fontId="5" fillId="0" borderId="35" xfId="0" applyFont="1" applyFill="1" applyBorder="1" applyAlignment="1" applyProtection="1">
      <alignment horizontal="left" vertical="top" wrapText="1"/>
      <protection locked="0"/>
    </xf>
    <xf numFmtId="0" fontId="4" fillId="0" borderId="35" xfId="0" applyFont="1" applyFill="1" applyBorder="1" applyAlignment="1" applyProtection="1">
      <alignment horizontal="left" vertical="top" wrapText="1"/>
      <protection locked="0"/>
    </xf>
    <xf numFmtId="0" fontId="4" fillId="0" borderId="36" xfId="0" applyFont="1" applyBorder="1" applyAlignment="1" applyProtection="1">
      <alignment horizontal="center" vertical="top" wrapText="1"/>
      <protection locked="0"/>
    </xf>
    <xf numFmtId="164" fontId="4" fillId="0" borderId="35" xfId="0" applyNumberFormat="1" applyFont="1" applyBorder="1" applyAlignment="1" applyProtection="1">
      <alignment horizontal="center" vertical="top" wrapText="1"/>
      <protection locked="0"/>
    </xf>
    <xf numFmtId="0" fontId="13" fillId="0" borderId="8" xfId="0" applyFont="1" applyBorder="1" applyAlignment="1" applyProtection="1">
      <alignment horizontal="center" vertical="top" wrapText="1"/>
      <protection locked="0"/>
    </xf>
    <xf numFmtId="0" fontId="10" fillId="0" borderId="0" xfId="0" applyFont="1"/>
  </cellXfs>
  <cellStyles count="3">
    <cellStyle name="Normale" xfId="0" builtinId="0"/>
    <cellStyle name="Percentuale" xfId="2" builtinId="5"/>
    <cellStyle name="Valuta" xfId="1"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0000FF"/>
      <rgbColor rgb="00CFCFCF"/>
      <rgbColor rgb="00FFFFFF"/>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46"/>
  <sheetViews>
    <sheetView tabSelected="1" view="pageBreakPreview" zoomScale="90" zoomScaleNormal="100" zoomScaleSheetLayoutView="90" workbookViewId="0">
      <selection activeCell="C17" sqref="C17"/>
    </sheetView>
  </sheetViews>
  <sheetFormatPr defaultColWidth="10" defaultRowHeight="12.75" x14ac:dyDescent="0.2"/>
  <cols>
    <col min="1" max="1" width="5.42578125" style="384" customWidth="1"/>
    <col min="2" max="2" width="17.42578125" style="377" customWidth="1"/>
    <col min="3" max="3" width="68" style="2" customWidth="1"/>
    <col min="4" max="4" width="7.28515625" style="3" customWidth="1"/>
    <col min="5" max="5" width="10.140625" style="133" customWidth="1"/>
    <col min="6" max="6" width="11.28515625" style="4" customWidth="1"/>
    <col min="7" max="7" width="21.42578125" style="5" customWidth="1"/>
    <col min="8" max="8" width="11.28515625" style="134" customWidth="1"/>
    <col min="9" max="9" width="21.42578125" style="5" customWidth="1"/>
    <col min="10" max="10" width="1.7109375" style="1" customWidth="1"/>
    <col min="11" max="17" width="15.7109375" style="237" customWidth="1"/>
    <col min="18" max="18" width="15.7109375" style="231" customWidth="1"/>
    <col min="19" max="20" width="10" style="231"/>
    <col min="21" max="16384" width="10" style="1"/>
  </cols>
  <sheetData>
    <row r="1" spans="1:20" s="76" customFormat="1" ht="13.5" thickBot="1" x14ac:dyDescent="0.25">
      <c r="A1" s="75" t="s">
        <v>48</v>
      </c>
      <c r="B1" s="75" t="s">
        <v>18</v>
      </c>
      <c r="C1" s="75" t="s">
        <v>5</v>
      </c>
      <c r="D1" s="308" t="s">
        <v>4</v>
      </c>
      <c r="E1" s="309"/>
      <c r="F1" s="310" t="s">
        <v>8</v>
      </c>
      <c r="G1" s="311"/>
      <c r="H1" s="310" t="s">
        <v>66</v>
      </c>
      <c r="I1" s="311"/>
      <c r="K1" s="232"/>
      <c r="L1" s="232"/>
      <c r="M1" s="232"/>
      <c r="N1" s="232"/>
      <c r="O1" s="232"/>
      <c r="P1" s="232"/>
      <c r="Q1" s="232"/>
      <c r="R1" s="233"/>
      <c r="S1" s="233"/>
      <c r="T1" s="233"/>
    </row>
    <row r="2" spans="1:20" s="84" customFormat="1" x14ac:dyDescent="0.2">
      <c r="A2" s="77"/>
      <c r="B2" s="78" t="s">
        <v>14</v>
      </c>
      <c r="C2" s="78" t="s">
        <v>10</v>
      </c>
      <c r="D2" s="79" t="s">
        <v>0</v>
      </c>
      <c r="E2" s="80" t="s">
        <v>1</v>
      </c>
      <c r="F2" s="81" t="s">
        <v>2</v>
      </c>
      <c r="G2" s="82" t="s">
        <v>15</v>
      </c>
      <c r="H2" s="83" t="s">
        <v>67</v>
      </c>
      <c r="I2" s="82" t="s">
        <v>82</v>
      </c>
      <c r="K2" s="232"/>
      <c r="L2" s="232"/>
      <c r="M2" s="232"/>
      <c r="N2" s="232"/>
      <c r="O2" s="232"/>
      <c r="P2" s="232"/>
      <c r="Q2" s="232"/>
      <c r="R2" s="94"/>
      <c r="S2" s="94"/>
      <c r="T2" s="94"/>
    </row>
    <row r="3" spans="1:20" s="92" customFormat="1" ht="13.5" thickBot="1" x14ac:dyDescent="0.25">
      <c r="A3" s="85"/>
      <c r="B3" s="85" t="s">
        <v>11</v>
      </c>
      <c r="C3" s="86"/>
      <c r="D3" s="87" t="s">
        <v>3</v>
      </c>
      <c r="E3" s="88" t="s">
        <v>6</v>
      </c>
      <c r="F3" s="89" t="s">
        <v>7</v>
      </c>
      <c r="G3" s="90" t="s">
        <v>12</v>
      </c>
      <c r="H3" s="91" t="s">
        <v>68</v>
      </c>
      <c r="I3" s="90" t="s">
        <v>12</v>
      </c>
      <c r="K3" s="234"/>
      <c r="L3" s="234"/>
      <c r="M3" s="234"/>
      <c r="N3" s="234"/>
      <c r="O3" s="234"/>
      <c r="P3" s="234"/>
      <c r="Q3" s="234"/>
      <c r="R3" s="93"/>
      <c r="S3" s="93"/>
      <c r="T3" s="93"/>
    </row>
    <row r="4" spans="1:20" s="92" customFormat="1" ht="13.5" thickBot="1" x14ac:dyDescent="0.25">
      <c r="A4" s="93"/>
      <c r="B4" s="372"/>
      <c r="C4" s="94"/>
      <c r="D4" s="93"/>
      <c r="E4" s="95"/>
      <c r="F4" s="96"/>
      <c r="G4" s="96"/>
      <c r="H4" s="97"/>
      <c r="I4" s="96"/>
      <c r="K4" s="93"/>
      <c r="L4" s="93"/>
      <c r="M4" s="93"/>
      <c r="N4" s="93"/>
      <c r="O4" s="93"/>
      <c r="P4" s="93"/>
      <c r="Q4" s="93"/>
      <c r="R4" s="93"/>
      <c r="S4" s="93"/>
      <c r="T4" s="93"/>
    </row>
    <row r="5" spans="1:20" s="16" customFormat="1" x14ac:dyDescent="0.2">
      <c r="A5" s="380"/>
      <c r="B5" s="373"/>
      <c r="C5" s="98" t="s">
        <v>16</v>
      </c>
      <c r="D5" s="99"/>
      <c r="E5" s="100"/>
      <c r="F5" s="101"/>
      <c r="G5" s="102"/>
      <c r="H5" s="103"/>
      <c r="I5" s="102"/>
      <c r="J5" s="92"/>
      <c r="K5" s="234"/>
      <c r="L5" s="234"/>
      <c r="M5" s="234"/>
      <c r="N5" s="234"/>
      <c r="O5" s="235"/>
      <c r="P5" s="235"/>
      <c r="Q5" s="235"/>
      <c r="R5" s="230"/>
      <c r="S5" s="230"/>
      <c r="T5" s="230"/>
    </row>
    <row r="6" spans="1:20" s="16" customFormat="1" x14ac:dyDescent="0.2">
      <c r="A6" s="381"/>
      <c r="B6" s="374"/>
      <c r="C6" s="14" t="s">
        <v>17</v>
      </c>
      <c r="D6" s="18"/>
      <c r="E6" s="104"/>
      <c r="F6" s="105"/>
      <c r="G6" s="106"/>
      <c r="H6" s="107"/>
      <c r="I6" s="106"/>
      <c r="J6" s="92"/>
      <c r="K6" s="234"/>
      <c r="L6" s="234"/>
      <c r="M6" s="234"/>
      <c r="N6" s="234"/>
      <c r="O6" s="235"/>
      <c r="P6" s="235"/>
      <c r="Q6" s="235"/>
      <c r="R6" s="230"/>
      <c r="S6" s="230"/>
      <c r="T6" s="230"/>
    </row>
    <row r="7" spans="1:20" s="16" customFormat="1" x14ac:dyDescent="0.2">
      <c r="A7" s="381"/>
      <c r="B7" s="374"/>
      <c r="C7" s="108" t="s">
        <v>107</v>
      </c>
      <c r="D7" s="18"/>
      <c r="E7" s="104"/>
      <c r="F7" s="105"/>
      <c r="G7" s="106"/>
      <c r="H7" s="107"/>
      <c r="I7" s="106"/>
      <c r="J7" s="92"/>
      <c r="K7" s="234"/>
      <c r="L7" s="234"/>
      <c r="M7" s="234"/>
      <c r="N7" s="234"/>
      <c r="O7" s="235"/>
      <c r="P7" s="235"/>
      <c r="Q7" s="235"/>
      <c r="R7" s="230"/>
      <c r="S7" s="230"/>
      <c r="T7" s="230"/>
    </row>
    <row r="8" spans="1:20" s="16" customFormat="1" x14ac:dyDescent="0.2">
      <c r="A8" s="381"/>
      <c r="B8" s="374"/>
      <c r="C8" s="108" t="s">
        <v>106</v>
      </c>
      <c r="D8" s="18"/>
      <c r="E8" s="104"/>
      <c r="F8" s="105"/>
      <c r="G8" s="106"/>
      <c r="H8" s="107"/>
      <c r="I8" s="106"/>
      <c r="J8" s="92"/>
      <c r="K8" s="234"/>
      <c r="L8" s="234"/>
      <c r="M8" s="234"/>
      <c r="N8" s="234"/>
      <c r="O8" s="235"/>
      <c r="P8" s="235"/>
      <c r="Q8" s="235"/>
      <c r="R8" s="230"/>
      <c r="S8" s="230"/>
      <c r="T8" s="230"/>
    </row>
    <row r="9" spans="1:20" s="16" customFormat="1" x14ac:dyDescent="0.2">
      <c r="A9" s="381"/>
      <c r="B9" s="374"/>
      <c r="C9" s="108" t="s">
        <v>108</v>
      </c>
      <c r="D9" s="18"/>
      <c r="E9" s="104"/>
      <c r="F9" s="105"/>
      <c r="G9" s="106"/>
      <c r="H9" s="107"/>
      <c r="I9" s="106"/>
      <c r="J9" s="92"/>
      <c r="K9" s="234"/>
      <c r="L9" s="234"/>
      <c r="M9" s="234"/>
      <c r="N9" s="234"/>
      <c r="O9" s="235"/>
      <c r="P9" s="235"/>
      <c r="Q9" s="235"/>
      <c r="R9" s="230"/>
      <c r="S9" s="230"/>
      <c r="T9" s="230"/>
    </row>
    <row r="10" spans="1:20" s="16" customFormat="1" x14ac:dyDescent="0.2">
      <c r="A10" s="381"/>
      <c r="B10" s="374"/>
      <c r="C10" s="108" t="s">
        <v>244</v>
      </c>
      <c r="D10" s="18"/>
      <c r="E10" s="421"/>
      <c r="F10" s="105"/>
      <c r="G10" s="106"/>
      <c r="H10" s="107"/>
      <c r="I10" s="106"/>
      <c r="J10" s="92"/>
      <c r="K10" s="234"/>
      <c r="L10" s="234"/>
      <c r="M10" s="234"/>
      <c r="N10" s="234"/>
      <c r="O10" s="235"/>
      <c r="P10" s="235"/>
      <c r="Q10" s="235"/>
      <c r="R10" s="230"/>
      <c r="S10" s="230"/>
      <c r="T10" s="230"/>
    </row>
    <row r="11" spans="1:20" s="16" customFormat="1" x14ac:dyDescent="0.2">
      <c r="A11" s="381"/>
      <c r="B11" s="374"/>
      <c r="C11" s="108" t="s">
        <v>109</v>
      </c>
      <c r="D11" s="18"/>
      <c r="E11" s="421"/>
      <c r="F11" s="105"/>
      <c r="G11" s="106"/>
      <c r="H11" s="107"/>
      <c r="I11" s="106"/>
      <c r="J11" s="92"/>
      <c r="K11" s="234"/>
      <c r="L11" s="234"/>
      <c r="M11" s="234"/>
      <c r="N11" s="234"/>
      <c r="O11" s="235"/>
      <c r="P11" s="235"/>
      <c r="Q11" s="235"/>
      <c r="R11" s="230"/>
      <c r="S11" s="230"/>
      <c r="T11" s="230"/>
    </row>
    <row r="12" spans="1:20" s="16" customFormat="1" x14ac:dyDescent="0.2">
      <c r="A12" s="381"/>
      <c r="B12" s="357"/>
      <c r="C12" s="20"/>
      <c r="D12" s="8"/>
      <c r="E12" s="422"/>
      <c r="F12" s="9"/>
      <c r="G12" s="109"/>
      <c r="H12" s="68"/>
      <c r="I12" s="109"/>
      <c r="K12" s="235"/>
      <c r="L12" s="235"/>
      <c r="M12" s="235"/>
      <c r="N12" s="235"/>
      <c r="O12" s="235"/>
      <c r="P12" s="235"/>
      <c r="Q12" s="235"/>
      <c r="R12" s="230"/>
      <c r="S12" s="230"/>
      <c r="T12" s="230"/>
    </row>
    <row r="13" spans="1:20" s="31" customFormat="1" x14ac:dyDescent="0.2">
      <c r="A13" s="382"/>
      <c r="B13" s="375"/>
      <c r="C13" s="110" t="s">
        <v>31</v>
      </c>
      <c r="D13" s="25"/>
      <c r="E13" s="423"/>
      <c r="F13" s="28"/>
      <c r="G13" s="27"/>
      <c r="H13" s="111"/>
      <c r="I13" s="27"/>
      <c r="K13" s="235"/>
      <c r="L13" s="235"/>
      <c r="M13" s="235"/>
      <c r="N13" s="235"/>
      <c r="O13" s="235"/>
      <c r="P13" s="235"/>
      <c r="Q13" s="235"/>
      <c r="R13" s="236"/>
      <c r="S13" s="236"/>
      <c r="T13" s="236"/>
    </row>
    <row r="14" spans="1:20" s="16" customFormat="1" x14ac:dyDescent="0.2">
      <c r="A14" s="387"/>
      <c r="B14" s="387"/>
      <c r="C14" s="20"/>
      <c r="D14" s="8"/>
      <c r="E14" s="422"/>
      <c r="F14" s="112"/>
      <c r="G14" s="11"/>
      <c r="H14" s="113"/>
      <c r="I14" s="11"/>
      <c r="K14" s="235"/>
      <c r="L14" s="235"/>
      <c r="M14" s="235"/>
      <c r="N14" s="235"/>
      <c r="O14" s="235"/>
      <c r="P14" s="235"/>
      <c r="Q14" s="235"/>
      <c r="R14" s="230"/>
      <c r="S14" s="230"/>
      <c r="T14" s="230"/>
    </row>
    <row r="15" spans="1:20" s="31" customFormat="1" x14ac:dyDescent="0.2">
      <c r="A15" s="387"/>
      <c r="B15" s="387"/>
      <c r="C15" s="114" t="s">
        <v>63</v>
      </c>
      <c r="D15" s="25"/>
      <c r="E15" s="424"/>
      <c r="F15" s="26"/>
      <c r="G15" s="27"/>
      <c r="H15" s="116"/>
      <c r="I15" s="27"/>
      <c r="J15" s="30"/>
      <c r="K15" s="232"/>
      <c r="L15" s="232"/>
      <c r="M15" s="235"/>
      <c r="N15" s="235"/>
      <c r="O15" s="235"/>
      <c r="P15" s="235"/>
      <c r="Q15" s="235"/>
      <c r="R15" s="236"/>
      <c r="S15" s="236"/>
      <c r="T15" s="236"/>
    </row>
    <row r="16" spans="1:20" s="16" customFormat="1" x14ac:dyDescent="0.2">
      <c r="A16" s="387"/>
      <c r="B16" s="387"/>
      <c r="C16" s="20" t="s">
        <v>21</v>
      </c>
      <c r="D16" s="8"/>
      <c r="E16" s="422"/>
      <c r="F16" s="112"/>
      <c r="G16" s="11"/>
      <c r="H16" s="113"/>
      <c r="I16" s="11"/>
      <c r="K16" s="235"/>
      <c r="L16" s="235"/>
      <c r="M16" s="235"/>
      <c r="N16" s="235"/>
      <c r="O16" s="235"/>
      <c r="P16" s="235"/>
      <c r="Q16" s="235"/>
      <c r="R16" s="230"/>
      <c r="S16" s="230"/>
      <c r="T16" s="230"/>
    </row>
    <row r="17" spans="1:20" s="16" customFormat="1" ht="38.25" x14ac:dyDescent="0.2">
      <c r="A17" s="387" t="s">
        <v>50</v>
      </c>
      <c r="B17" s="387" t="s">
        <v>22</v>
      </c>
      <c r="C17" s="20" t="s">
        <v>23</v>
      </c>
      <c r="D17" s="8" t="s">
        <v>19</v>
      </c>
      <c r="E17" s="422">
        <v>20</v>
      </c>
      <c r="F17" s="112">
        <v>7.16</v>
      </c>
      <c r="G17" s="11">
        <f>E17*F17</f>
        <v>143.19999999999999</v>
      </c>
      <c r="H17" s="113">
        <v>1</v>
      </c>
      <c r="I17" s="11">
        <f>G17*H17</f>
        <v>143.19999999999999</v>
      </c>
      <c r="K17" s="235"/>
      <c r="L17" s="235"/>
      <c r="M17" s="235"/>
      <c r="N17" s="235"/>
      <c r="O17" s="235"/>
      <c r="P17" s="235"/>
      <c r="Q17" s="235"/>
      <c r="R17" s="230"/>
      <c r="S17" s="230"/>
      <c r="T17" s="230"/>
    </row>
    <row r="18" spans="1:20" s="16" customFormat="1" ht="51" x14ac:dyDescent="0.2">
      <c r="A18" s="387" t="s">
        <v>50</v>
      </c>
      <c r="B18" s="387" t="s">
        <v>24</v>
      </c>
      <c r="C18" s="20" t="s">
        <v>25</v>
      </c>
      <c r="D18" s="8"/>
      <c r="E18" s="422"/>
      <c r="F18" s="112"/>
      <c r="G18" s="11"/>
      <c r="H18" s="113"/>
      <c r="I18" s="11"/>
      <c r="K18" s="235"/>
      <c r="L18" s="235"/>
      <c r="M18" s="235"/>
      <c r="N18" s="235"/>
      <c r="O18" s="235"/>
      <c r="P18" s="235"/>
      <c r="Q18" s="235"/>
      <c r="R18" s="230"/>
      <c r="S18" s="230"/>
      <c r="T18" s="230"/>
    </row>
    <row r="19" spans="1:20" s="16" customFormat="1" x14ac:dyDescent="0.2">
      <c r="A19" s="387"/>
      <c r="B19" s="387"/>
      <c r="C19" s="32" t="s">
        <v>212</v>
      </c>
      <c r="D19" s="8" t="s">
        <v>19</v>
      </c>
      <c r="E19" s="422">
        <f>E17*365</f>
        <v>7300</v>
      </c>
      <c r="F19" s="112">
        <v>0.1</v>
      </c>
      <c r="G19" s="11">
        <f>E19*F19</f>
        <v>730</v>
      </c>
      <c r="H19" s="113">
        <v>0.25</v>
      </c>
      <c r="I19" s="11">
        <f>G19*H19</f>
        <v>182.5</v>
      </c>
      <c r="K19" s="235"/>
      <c r="L19" s="235"/>
      <c r="M19" s="235"/>
      <c r="N19" s="235"/>
      <c r="O19" s="235"/>
      <c r="P19" s="235"/>
      <c r="Q19" s="235"/>
      <c r="R19" s="230"/>
      <c r="S19" s="230"/>
      <c r="T19" s="230"/>
    </row>
    <row r="20" spans="1:20" s="16" customFormat="1" ht="38.25" x14ac:dyDescent="0.2">
      <c r="A20" s="387" t="s">
        <v>50</v>
      </c>
      <c r="B20" s="387" t="s">
        <v>26</v>
      </c>
      <c r="C20" s="20" t="s">
        <v>78</v>
      </c>
      <c r="D20" s="8"/>
      <c r="E20" s="422"/>
      <c r="F20" s="112"/>
      <c r="G20" s="11"/>
      <c r="H20" s="113"/>
      <c r="I20" s="11"/>
      <c r="K20" s="235"/>
      <c r="L20" s="235"/>
      <c r="M20" s="235"/>
      <c r="N20" s="235"/>
      <c r="O20" s="235"/>
      <c r="P20" s="235"/>
      <c r="Q20" s="235"/>
      <c r="R20" s="230"/>
      <c r="S20" s="230"/>
      <c r="T20" s="230"/>
    </row>
    <row r="21" spans="1:20" s="16" customFormat="1" x14ac:dyDescent="0.2">
      <c r="A21" s="387"/>
      <c r="B21" s="387"/>
      <c r="C21" s="32" t="s">
        <v>173</v>
      </c>
      <c r="D21" s="8" t="s">
        <v>9</v>
      </c>
      <c r="E21" s="425">
        <v>12</v>
      </c>
      <c r="F21" s="112">
        <v>172.5</v>
      </c>
      <c r="G21" s="11">
        <f>E21*F21</f>
        <v>2070</v>
      </c>
      <c r="H21" s="113">
        <v>0</v>
      </c>
      <c r="I21" s="11">
        <f>G21*H21</f>
        <v>0</v>
      </c>
      <c r="K21" s="235"/>
      <c r="L21" s="235"/>
      <c r="M21" s="235"/>
      <c r="N21" s="235"/>
      <c r="O21" s="235"/>
      <c r="P21" s="235"/>
      <c r="Q21" s="235"/>
      <c r="R21" s="230"/>
      <c r="S21" s="230"/>
      <c r="T21" s="230"/>
    </row>
    <row r="22" spans="1:20" s="16" customFormat="1" ht="63.75" x14ac:dyDescent="0.2">
      <c r="A22" s="387" t="s">
        <v>50</v>
      </c>
      <c r="B22" s="387" t="s">
        <v>27</v>
      </c>
      <c r="C22" s="20" t="s">
        <v>79</v>
      </c>
      <c r="D22" s="8"/>
      <c r="E22" s="426"/>
      <c r="F22" s="112"/>
      <c r="G22" s="11"/>
      <c r="H22" s="113"/>
      <c r="I22" s="11"/>
      <c r="K22" s="235"/>
      <c r="L22" s="235"/>
      <c r="M22" s="235"/>
      <c r="N22" s="235"/>
      <c r="O22" s="235"/>
      <c r="P22" s="235"/>
      <c r="Q22" s="235"/>
      <c r="R22" s="230"/>
      <c r="S22" s="230"/>
      <c r="T22" s="230"/>
    </row>
    <row r="23" spans="1:20" s="16" customFormat="1" x14ac:dyDescent="0.2">
      <c r="A23" s="387"/>
      <c r="B23" s="387"/>
      <c r="C23" s="32" t="s">
        <v>49</v>
      </c>
      <c r="D23" s="8" t="s">
        <v>9</v>
      </c>
      <c r="E23" s="426">
        <v>1</v>
      </c>
      <c r="F23" s="112">
        <v>869.86</v>
      </c>
      <c r="G23" s="11">
        <f>E23*F23</f>
        <v>869.86</v>
      </c>
      <c r="H23" s="113">
        <v>0.33900000000000002</v>
      </c>
      <c r="I23" s="11">
        <f>G23*H23</f>
        <v>294.88254000000001</v>
      </c>
      <c r="K23" s="235"/>
      <c r="L23" s="235"/>
      <c r="M23" s="235"/>
      <c r="N23" s="235"/>
      <c r="O23" s="235"/>
      <c r="P23" s="235"/>
      <c r="Q23" s="235"/>
      <c r="R23" s="230"/>
      <c r="S23" s="230"/>
      <c r="T23" s="230"/>
    </row>
    <row r="24" spans="1:20" s="16" customFormat="1" ht="63.75" x14ac:dyDescent="0.2">
      <c r="A24" s="387" t="s">
        <v>50</v>
      </c>
      <c r="B24" s="387" t="s">
        <v>261</v>
      </c>
      <c r="C24" s="20" t="s">
        <v>262</v>
      </c>
      <c r="D24" s="8"/>
      <c r="E24" s="422"/>
      <c r="F24" s="13"/>
      <c r="G24" s="11"/>
      <c r="H24" s="129"/>
      <c r="I24" s="11"/>
      <c r="K24" s="235"/>
      <c r="L24" s="235"/>
      <c r="M24" s="235"/>
      <c r="N24" s="235"/>
      <c r="O24" s="235"/>
      <c r="P24" s="235"/>
      <c r="Q24" s="235"/>
      <c r="R24" s="230"/>
      <c r="S24" s="230"/>
      <c r="T24" s="230"/>
    </row>
    <row r="25" spans="1:20" s="16" customFormat="1" x14ac:dyDescent="0.2">
      <c r="A25" s="387"/>
      <c r="B25" s="387"/>
      <c r="C25" s="32" t="s">
        <v>263</v>
      </c>
      <c r="D25" s="8" t="s">
        <v>20</v>
      </c>
      <c r="E25" s="422">
        <v>1635</v>
      </c>
      <c r="F25" s="12">
        <v>31.63</v>
      </c>
      <c r="G25" s="11">
        <f>E25*F25</f>
        <v>51715.049999999996</v>
      </c>
      <c r="H25" s="66">
        <v>0</v>
      </c>
      <c r="I25" s="11">
        <f>G25*H25</f>
        <v>0</v>
      </c>
      <c r="J25" s="358"/>
      <c r="K25" s="232"/>
      <c r="L25" s="232"/>
      <c r="M25" s="232"/>
      <c r="N25" s="232"/>
      <c r="O25" s="232"/>
      <c r="P25" s="232"/>
      <c r="Q25" s="235"/>
      <c r="R25" s="230"/>
      <c r="S25" s="230"/>
      <c r="T25" s="230"/>
    </row>
    <row r="26" spans="1:20" s="16" customFormat="1" ht="63.75" x14ac:dyDescent="0.2">
      <c r="A26" s="387" t="s">
        <v>50</v>
      </c>
      <c r="B26" s="387" t="s">
        <v>264</v>
      </c>
      <c r="C26" s="20" t="s">
        <v>265</v>
      </c>
      <c r="D26" s="8"/>
      <c r="E26" s="17"/>
      <c r="F26" s="12"/>
      <c r="G26" s="11"/>
      <c r="H26" s="66"/>
      <c r="I26" s="11"/>
      <c r="K26" s="235"/>
      <c r="L26" s="235"/>
      <c r="M26" s="235"/>
      <c r="N26" s="235"/>
      <c r="O26" s="235"/>
      <c r="P26" s="235"/>
      <c r="Q26" s="235"/>
      <c r="R26" s="230"/>
      <c r="S26" s="230"/>
      <c r="T26" s="230"/>
    </row>
    <row r="27" spans="1:20" s="16" customFormat="1" x14ac:dyDescent="0.2">
      <c r="A27" s="387"/>
      <c r="B27" s="387"/>
      <c r="C27" s="32" t="s">
        <v>177</v>
      </c>
      <c r="D27" s="8" t="s">
        <v>20</v>
      </c>
      <c r="E27" s="17">
        <f>E25*11</f>
        <v>17985</v>
      </c>
      <c r="F27" s="13">
        <v>2.88</v>
      </c>
      <c r="G27" s="11">
        <f>E27*F27</f>
        <v>51796.799999999996</v>
      </c>
      <c r="H27" s="129">
        <v>0</v>
      </c>
      <c r="I27" s="11">
        <f>G27*H27</f>
        <v>0</v>
      </c>
      <c r="J27" s="358"/>
      <c r="K27" s="232"/>
      <c r="L27" s="232"/>
      <c r="M27" s="232"/>
      <c r="N27" s="232"/>
      <c r="O27" s="232"/>
      <c r="P27" s="232"/>
      <c r="Q27" s="235"/>
      <c r="R27" s="230"/>
      <c r="S27" s="230"/>
      <c r="T27" s="230"/>
    </row>
    <row r="28" spans="1:20" s="16" customFormat="1" ht="38.25" x14ac:dyDescent="0.2">
      <c r="A28" s="387" t="s">
        <v>50</v>
      </c>
      <c r="B28" s="387" t="s">
        <v>266</v>
      </c>
      <c r="C28" s="20" t="s">
        <v>267</v>
      </c>
      <c r="D28" s="8"/>
      <c r="E28" s="17"/>
      <c r="F28" s="12"/>
      <c r="G28" s="11"/>
      <c r="H28" s="66"/>
      <c r="I28" s="11"/>
      <c r="K28" s="235"/>
      <c r="L28" s="235"/>
      <c r="M28" s="235"/>
      <c r="N28" s="235"/>
      <c r="O28" s="235"/>
      <c r="P28" s="235"/>
      <c r="Q28" s="235"/>
      <c r="R28" s="230"/>
      <c r="S28" s="230"/>
      <c r="T28" s="230"/>
    </row>
    <row r="29" spans="1:20" s="16" customFormat="1" x14ac:dyDescent="0.2">
      <c r="A29" s="387"/>
      <c r="B29" s="387"/>
      <c r="C29" s="22" t="s">
        <v>83</v>
      </c>
      <c r="D29" s="8" t="s">
        <v>19</v>
      </c>
      <c r="E29" s="17">
        <v>105</v>
      </c>
      <c r="F29" s="12"/>
      <c r="G29" s="11"/>
      <c r="H29" s="66"/>
      <c r="I29" s="11"/>
      <c r="K29" s="235"/>
      <c r="L29" s="235"/>
      <c r="M29" s="235"/>
      <c r="N29" s="235"/>
      <c r="O29" s="235"/>
      <c r="P29" s="235"/>
      <c r="Q29" s="235"/>
      <c r="R29" s="230"/>
      <c r="S29" s="230"/>
      <c r="T29" s="230"/>
    </row>
    <row r="30" spans="1:20" s="16" customFormat="1" x14ac:dyDescent="0.2">
      <c r="A30" s="387"/>
      <c r="B30" s="387"/>
      <c r="C30" s="22" t="s">
        <v>84</v>
      </c>
      <c r="D30" s="8" t="s">
        <v>19</v>
      </c>
      <c r="E30" s="17">
        <v>105</v>
      </c>
      <c r="F30" s="12"/>
      <c r="G30" s="11"/>
      <c r="H30" s="66"/>
      <c r="I30" s="11"/>
      <c r="K30" s="235"/>
      <c r="L30" s="235"/>
      <c r="M30" s="235"/>
      <c r="N30" s="235"/>
      <c r="O30" s="235"/>
      <c r="P30" s="235"/>
      <c r="Q30" s="235"/>
      <c r="R30" s="230"/>
      <c r="S30" s="230"/>
      <c r="T30" s="230"/>
    </row>
    <row r="31" spans="1:20" s="16" customFormat="1" x14ac:dyDescent="0.2">
      <c r="A31" s="387"/>
      <c r="B31" s="387"/>
      <c r="C31" s="118" t="s">
        <v>13</v>
      </c>
      <c r="D31" s="8" t="s">
        <v>19</v>
      </c>
      <c r="E31" s="119">
        <f>SUM(E29:E30)</f>
        <v>210</v>
      </c>
      <c r="F31" s="13">
        <v>27.28</v>
      </c>
      <c r="G31" s="11">
        <f>E31*F31</f>
        <v>5728.8</v>
      </c>
      <c r="H31" s="129">
        <v>0</v>
      </c>
      <c r="I31" s="11">
        <f>G31*H31</f>
        <v>0</v>
      </c>
      <c r="K31" s="235"/>
      <c r="L31" s="235"/>
      <c r="M31" s="235"/>
      <c r="N31" s="235"/>
      <c r="O31" s="235"/>
      <c r="P31" s="235"/>
      <c r="Q31" s="235"/>
      <c r="R31" s="230"/>
      <c r="S31" s="230"/>
      <c r="T31" s="230"/>
    </row>
    <row r="32" spans="1:20" s="16" customFormat="1" ht="38.25" x14ac:dyDescent="0.2">
      <c r="A32" s="387" t="s">
        <v>50</v>
      </c>
      <c r="B32" s="387" t="s">
        <v>268</v>
      </c>
      <c r="C32" s="20" t="s">
        <v>269</v>
      </c>
      <c r="D32" s="8"/>
      <c r="E32" s="17"/>
      <c r="F32" s="13"/>
      <c r="G32" s="11"/>
      <c r="H32" s="129"/>
      <c r="I32" s="11"/>
      <c r="K32" s="235"/>
      <c r="L32" s="235"/>
      <c r="M32" s="235"/>
      <c r="N32" s="235"/>
      <c r="O32" s="235"/>
      <c r="P32" s="235"/>
      <c r="Q32" s="235"/>
      <c r="R32" s="230"/>
      <c r="S32" s="230"/>
      <c r="T32" s="230"/>
    </row>
    <row r="33" spans="1:20" s="16" customFormat="1" x14ac:dyDescent="0.2">
      <c r="A33" s="387"/>
      <c r="B33" s="387"/>
      <c r="C33" s="32" t="s">
        <v>178</v>
      </c>
      <c r="D33" s="8" t="s">
        <v>19</v>
      </c>
      <c r="E33" s="17">
        <f>E31*11</f>
        <v>2310</v>
      </c>
      <c r="F33" s="13">
        <v>1.82</v>
      </c>
      <c r="G33" s="11">
        <f>E33*F33</f>
        <v>4204.2</v>
      </c>
      <c r="H33" s="129">
        <v>0</v>
      </c>
      <c r="I33" s="11">
        <f>G33*H33</f>
        <v>0</v>
      </c>
      <c r="J33" s="358"/>
      <c r="K33" s="232"/>
      <c r="L33" s="232"/>
      <c r="M33" s="232"/>
      <c r="N33" s="232"/>
      <c r="O33" s="232"/>
      <c r="P33" s="232"/>
      <c r="Q33" s="235"/>
      <c r="R33" s="230"/>
      <c r="S33" s="230"/>
      <c r="T33" s="230"/>
    </row>
    <row r="34" spans="1:20" s="16" customFormat="1" x14ac:dyDescent="0.2">
      <c r="A34" s="387"/>
      <c r="B34" s="387"/>
      <c r="C34" s="32"/>
      <c r="D34" s="8"/>
      <c r="E34" s="17"/>
      <c r="F34" s="12"/>
      <c r="G34" s="11"/>
      <c r="H34" s="66"/>
      <c r="I34" s="11"/>
      <c r="K34" s="235"/>
      <c r="L34" s="235"/>
      <c r="M34" s="235"/>
      <c r="N34" s="235"/>
      <c r="O34" s="235"/>
      <c r="P34" s="235"/>
      <c r="Q34" s="235"/>
      <c r="R34" s="230"/>
      <c r="S34" s="230"/>
      <c r="T34" s="230"/>
    </row>
    <row r="35" spans="1:20" s="31" customFormat="1" x14ac:dyDescent="0.2">
      <c r="A35" s="387"/>
      <c r="B35" s="387"/>
      <c r="C35" s="114" t="s">
        <v>64</v>
      </c>
      <c r="D35" s="8"/>
      <c r="E35" s="115"/>
      <c r="F35" s="26"/>
      <c r="G35" s="27"/>
      <c r="H35" s="116"/>
      <c r="I35" s="27"/>
      <c r="J35" s="30"/>
      <c r="K35" s="232"/>
      <c r="L35" s="232"/>
      <c r="M35" s="232"/>
      <c r="N35" s="232"/>
      <c r="O35" s="235"/>
      <c r="P35" s="235"/>
      <c r="Q35" s="235"/>
      <c r="R35" s="236"/>
      <c r="S35" s="236"/>
      <c r="T35" s="236"/>
    </row>
    <row r="36" spans="1:20" s="16" customFormat="1" ht="38.25" x14ac:dyDescent="0.2">
      <c r="A36" s="387" t="s">
        <v>50</v>
      </c>
      <c r="B36" s="387" t="s">
        <v>32</v>
      </c>
      <c r="C36" s="20" t="s">
        <v>33</v>
      </c>
      <c r="D36" s="8" t="s">
        <v>9</v>
      </c>
      <c r="E36" s="117">
        <v>1</v>
      </c>
      <c r="F36" s="112">
        <v>345</v>
      </c>
      <c r="G36" s="11">
        <f>E36*F36</f>
        <v>345</v>
      </c>
      <c r="H36" s="113">
        <v>0</v>
      </c>
      <c r="I36" s="11">
        <f>G36*H36</f>
        <v>0</v>
      </c>
      <c r="K36" s="235"/>
      <c r="L36" s="235"/>
      <c r="M36" s="235"/>
      <c r="N36" s="235"/>
      <c r="O36" s="235"/>
      <c r="P36" s="235"/>
      <c r="Q36" s="235"/>
      <c r="R36" s="230"/>
      <c r="S36" s="230"/>
      <c r="T36" s="230"/>
    </row>
    <row r="37" spans="1:20" s="16" customFormat="1" ht="51" x14ac:dyDescent="0.2">
      <c r="A37" s="387" t="s">
        <v>50</v>
      </c>
      <c r="B37" s="387" t="s">
        <v>34</v>
      </c>
      <c r="C37" s="20" t="s">
        <v>35</v>
      </c>
      <c r="D37" s="8" t="s">
        <v>9</v>
      </c>
      <c r="E37" s="117">
        <v>1</v>
      </c>
      <c r="F37" s="112">
        <v>14.58</v>
      </c>
      <c r="G37" s="11">
        <f>E37*F37</f>
        <v>14.58</v>
      </c>
      <c r="H37" s="113">
        <v>0</v>
      </c>
      <c r="I37" s="11">
        <f>G37*H37</f>
        <v>0</v>
      </c>
      <c r="K37" s="235"/>
      <c r="L37" s="235"/>
      <c r="M37" s="235"/>
      <c r="N37" s="235"/>
      <c r="O37" s="235"/>
      <c r="P37" s="235"/>
      <c r="Q37" s="235"/>
      <c r="R37" s="230"/>
      <c r="S37" s="230"/>
      <c r="T37" s="230"/>
    </row>
    <row r="38" spans="1:20" ht="25.5" x14ac:dyDescent="0.2">
      <c r="A38" s="387" t="s">
        <v>50</v>
      </c>
      <c r="B38" s="387" t="s">
        <v>52</v>
      </c>
      <c r="C38" s="20" t="s">
        <v>51</v>
      </c>
      <c r="D38" s="8"/>
      <c r="E38" s="17"/>
      <c r="F38" s="6"/>
      <c r="G38" s="11"/>
      <c r="H38" s="120"/>
      <c r="I38" s="11"/>
    </row>
    <row r="39" spans="1:20" s="16" customFormat="1" x14ac:dyDescent="0.2">
      <c r="A39" s="387"/>
      <c r="B39" s="387"/>
      <c r="C39" s="32" t="s">
        <v>174</v>
      </c>
      <c r="D39" s="8" t="s">
        <v>53</v>
      </c>
      <c r="E39" s="117">
        <v>365</v>
      </c>
      <c r="F39" s="6">
        <v>1.3</v>
      </c>
      <c r="G39" s="11">
        <f>E39*F39</f>
        <v>474.5</v>
      </c>
      <c r="H39" s="120">
        <v>0</v>
      </c>
      <c r="I39" s="11">
        <f>G39*H39</f>
        <v>0</v>
      </c>
      <c r="K39" s="235"/>
      <c r="L39" s="235"/>
      <c r="M39" s="235"/>
      <c r="N39" s="235"/>
      <c r="O39" s="235"/>
      <c r="P39" s="235"/>
      <c r="Q39" s="235"/>
      <c r="R39" s="230"/>
      <c r="S39" s="230"/>
      <c r="T39" s="230"/>
    </row>
    <row r="40" spans="1:20" ht="25.5" x14ac:dyDescent="0.2">
      <c r="A40" s="387" t="s">
        <v>50</v>
      </c>
      <c r="B40" s="387" t="s">
        <v>80</v>
      </c>
      <c r="C40" s="20" t="s">
        <v>81</v>
      </c>
      <c r="D40" s="8"/>
      <c r="E40" s="17"/>
      <c r="F40" s="6"/>
      <c r="G40" s="11"/>
      <c r="H40" s="120"/>
      <c r="I40" s="11"/>
    </row>
    <row r="41" spans="1:20" s="16" customFormat="1" x14ac:dyDescent="0.2">
      <c r="A41" s="387"/>
      <c r="B41" s="387"/>
      <c r="C41" s="32" t="s">
        <v>239</v>
      </c>
      <c r="D41" s="8" t="s">
        <v>20</v>
      </c>
      <c r="E41" s="17">
        <f>E25</f>
        <v>1635</v>
      </c>
      <c r="F41" s="6">
        <v>3.6</v>
      </c>
      <c r="G41" s="11">
        <f>E41*F41</f>
        <v>5886</v>
      </c>
      <c r="H41" s="120">
        <v>0</v>
      </c>
      <c r="I41" s="11">
        <f>G41*H41</f>
        <v>0</v>
      </c>
      <c r="J41" s="358"/>
      <c r="K41" s="232"/>
      <c r="L41" s="232"/>
      <c r="M41" s="232"/>
      <c r="N41" s="232"/>
      <c r="O41" s="232"/>
      <c r="P41" s="232"/>
      <c r="Q41" s="235"/>
      <c r="R41" s="230"/>
      <c r="S41" s="230"/>
      <c r="T41" s="230"/>
    </row>
    <row r="42" spans="1:20" s="16" customFormat="1" x14ac:dyDescent="0.2">
      <c r="A42" s="387"/>
      <c r="B42" s="387"/>
      <c r="C42" s="32"/>
      <c r="D42" s="8"/>
      <c r="E42" s="17"/>
      <c r="F42" s="7"/>
      <c r="G42" s="11"/>
      <c r="H42" s="121"/>
      <c r="I42" s="11"/>
      <c r="K42" s="235"/>
      <c r="L42" s="235"/>
      <c r="M42" s="235"/>
      <c r="N42" s="235"/>
      <c r="O42" s="235"/>
      <c r="P42" s="235"/>
      <c r="Q42" s="235"/>
      <c r="R42" s="230"/>
      <c r="S42" s="230"/>
      <c r="T42" s="230"/>
    </row>
    <row r="43" spans="1:20" s="31" customFormat="1" x14ac:dyDescent="0.2">
      <c r="A43" s="387"/>
      <c r="B43" s="387"/>
      <c r="C43" s="122" t="s">
        <v>260</v>
      </c>
      <c r="D43" s="8"/>
      <c r="E43" s="23"/>
      <c r="F43" s="26"/>
      <c r="G43" s="29">
        <f>SUM(G14:G42)</f>
        <v>123977.98999999999</v>
      </c>
      <c r="H43" s="116">
        <f>I43/G43</f>
        <v>5.0055863948108856E-3</v>
      </c>
      <c r="I43" s="29">
        <f>SUM(I15:I42)</f>
        <v>620.58253999999999</v>
      </c>
      <c r="K43" s="235"/>
      <c r="L43" s="235"/>
      <c r="M43" s="235"/>
      <c r="N43" s="235"/>
      <c r="O43" s="235"/>
      <c r="P43" s="235"/>
      <c r="Q43" s="235"/>
      <c r="R43" s="236"/>
      <c r="S43" s="236"/>
      <c r="T43" s="236"/>
    </row>
    <row r="44" spans="1:20" s="16" customFormat="1" x14ac:dyDescent="0.2">
      <c r="A44" s="387"/>
      <c r="B44" s="387"/>
      <c r="C44" s="32"/>
      <c r="D44" s="8"/>
      <c r="E44" s="17"/>
      <c r="F44" s="7"/>
      <c r="G44" s="11"/>
      <c r="H44" s="121"/>
      <c r="I44" s="11"/>
      <c r="K44" s="235"/>
      <c r="L44" s="235"/>
      <c r="M44" s="235"/>
      <c r="N44" s="235"/>
      <c r="O44" s="235"/>
      <c r="P44" s="235"/>
      <c r="Q44" s="235"/>
      <c r="R44" s="230"/>
      <c r="S44" s="230"/>
      <c r="T44" s="230"/>
    </row>
    <row r="45" spans="1:20" s="16" customFormat="1" x14ac:dyDescent="0.2">
      <c r="A45" s="387"/>
      <c r="B45" s="387"/>
      <c r="C45" s="114" t="s">
        <v>198</v>
      </c>
      <c r="D45" s="8"/>
      <c r="E45" s="67"/>
      <c r="F45" s="112"/>
      <c r="G45" s="109"/>
      <c r="H45" s="113"/>
      <c r="I45" s="109"/>
      <c r="J45" s="15"/>
      <c r="K45" s="232"/>
      <c r="L45" s="232"/>
      <c r="M45" s="232"/>
      <c r="N45" s="232"/>
      <c r="O45" s="235"/>
      <c r="P45" s="235"/>
      <c r="Q45" s="235"/>
      <c r="R45" s="230"/>
      <c r="S45" s="230"/>
      <c r="T45" s="230"/>
    </row>
    <row r="46" spans="1:20" s="16" customFormat="1" x14ac:dyDescent="0.2">
      <c r="A46" s="387"/>
      <c r="B46" s="387"/>
      <c r="C46" s="24"/>
      <c r="D46" s="8"/>
      <c r="E46" s="67"/>
      <c r="F46" s="12"/>
      <c r="G46" s="109"/>
      <c r="H46" s="66"/>
      <c r="I46" s="109"/>
      <c r="J46" s="15"/>
      <c r="K46" s="232"/>
      <c r="L46" s="232"/>
      <c r="M46" s="232"/>
      <c r="N46" s="232"/>
      <c r="O46" s="235"/>
      <c r="P46" s="235"/>
      <c r="Q46" s="235"/>
      <c r="R46" s="230"/>
      <c r="S46" s="230"/>
      <c r="T46" s="230"/>
    </row>
    <row r="47" spans="1:20" s="16" customFormat="1" ht="25.5" x14ac:dyDescent="0.2">
      <c r="A47" s="387"/>
      <c r="B47" s="387"/>
      <c r="C47" s="156" t="s">
        <v>199</v>
      </c>
      <c r="D47" s="8"/>
      <c r="E47" s="17"/>
      <c r="F47" s="112"/>
      <c r="G47" s="11"/>
      <c r="H47" s="113"/>
      <c r="I47" s="11"/>
      <c r="K47" s="235"/>
      <c r="L47" s="235"/>
      <c r="M47" s="235"/>
      <c r="N47" s="235"/>
      <c r="O47" s="235"/>
      <c r="P47" s="235"/>
      <c r="Q47" s="235"/>
      <c r="R47" s="230"/>
      <c r="S47" s="230"/>
      <c r="T47" s="230"/>
    </row>
    <row r="48" spans="1:20" s="16" customFormat="1" x14ac:dyDescent="0.2">
      <c r="A48" s="387"/>
      <c r="B48" s="387"/>
      <c r="C48" s="179" t="s">
        <v>200</v>
      </c>
      <c r="D48" s="8"/>
      <c r="E48" s="17"/>
      <c r="F48" s="112"/>
      <c r="G48" s="11"/>
      <c r="H48" s="113"/>
      <c r="I48" s="11"/>
      <c r="K48" s="235"/>
      <c r="L48" s="235"/>
      <c r="M48" s="235"/>
      <c r="N48" s="235"/>
      <c r="O48" s="235"/>
      <c r="P48" s="235"/>
      <c r="Q48" s="235"/>
      <c r="R48" s="230"/>
      <c r="S48" s="230"/>
      <c r="T48" s="230"/>
    </row>
    <row r="49" spans="1:20" s="16" customFormat="1" ht="63.75" x14ac:dyDescent="0.2">
      <c r="A49" s="387" t="s">
        <v>243</v>
      </c>
      <c r="B49" s="387" t="s">
        <v>201</v>
      </c>
      <c r="C49" s="20" t="s">
        <v>205</v>
      </c>
      <c r="D49" s="8" t="s">
        <v>202</v>
      </c>
      <c r="E49" s="117">
        <v>1</v>
      </c>
      <c r="F49" s="112">
        <v>150</v>
      </c>
      <c r="G49" s="11">
        <f>E49*F49</f>
        <v>150</v>
      </c>
      <c r="H49" s="120">
        <v>0</v>
      </c>
      <c r="I49" s="11">
        <f>G49*H49</f>
        <v>0</v>
      </c>
      <c r="K49" s="235"/>
      <c r="L49" s="235"/>
      <c r="M49" s="235"/>
      <c r="N49" s="235"/>
      <c r="O49" s="235"/>
      <c r="P49" s="235"/>
      <c r="Q49" s="235"/>
      <c r="R49" s="230"/>
      <c r="S49" s="230"/>
      <c r="T49" s="230"/>
    </row>
    <row r="50" spans="1:20" s="16" customFormat="1" ht="76.5" x14ac:dyDescent="0.2">
      <c r="A50" s="387" t="s">
        <v>243</v>
      </c>
      <c r="B50" s="387" t="s">
        <v>203</v>
      </c>
      <c r="C50" s="180" t="s">
        <v>204</v>
      </c>
      <c r="D50" s="8" t="s">
        <v>202</v>
      </c>
      <c r="E50" s="117">
        <v>1</v>
      </c>
      <c r="F50" s="112">
        <v>18.98</v>
      </c>
      <c r="G50" s="11">
        <f>E50*F50</f>
        <v>18.98</v>
      </c>
      <c r="H50" s="120">
        <v>0</v>
      </c>
      <c r="I50" s="11">
        <f>G50*H50</f>
        <v>0</v>
      </c>
      <c r="K50" s="235"/>
      <c r="L50" s="235"/>
      <c r="M50" s="235"/>
      <c r="N50" s="235"/>
      <c r="O50" s="235"/>
      <c r="P50" s="235"/>
      <c r="Q50" s="235"/>
      <c r="R50" s="230"/>
      <c r="S50" s="230"/>
      <c r="T50" s="230"/>
    </row>
    <row r="51" spans="1:20" s="16" customFormat="1" ht="140.25" x14ac:dyDescent="0.2">
      <c r="A51" s="387" t="s">
        <v>243</v>
      </c>
      <c r="B51" s="387" t="s">
        <v>206</v>
      </c>
      <c r="C51" s="180" t="s">
        <v>207</v>
      </c>
      <c r="D51" s="8"/>
      <c r="E51" s="117"/>
      <c r="F51" s="112"/>
      <c r="G51" s="11"/>
      <c r="H51" s="120"/>
      <c r="I51" s="11"/>
      <c r="K51" s="235"/>
      <c r="L51" s="235"/>
      <c r="M51" s="235"/>
      <c r="N51" s="235"/>
      <c r="O51" s="235"/>
      <c r="P51" s="235"/>
      <c r="Q51" s="235"/>
      <c r="R51" s="230"/>
      <c r="S51" s="230"/>
      <c r="T51" s="230"/>
    </row>
    <row r="52" spans="1:20" s="16" customFormat="1" x14ac:dyDescent="0.2">
      <c r="A52" s="387"/>
      <c r="B52" s="387"/>
      <c r="C52" s="181" t="s">
        <v>240</v>
      </c>
      <c r="D52" s="8" t="s">
        <v>20</v>
      </c>
      <c r="E52" s="17">
        <f>10*264</f>
        <v>2640</v>
      </c>
      <c r="F52" s="112">
        <v>1.8</v>
      </c>
      <c r="G52" s="11">
        <f>E52*F52</f>
        <v>4752</v>
      </c>
      <c r="H52" s="120">
        <v>0</v>
      </c>
      <c r="I52" s="11">
        <f>G52*H52</f>
        <v>0</v>
      </c>
      <c r="K52" s="235"/>
      <c r="L52" s="235"/>
      <c r="M52" s="235"/>
      <c r="N52" s="235"/>
      <c r="O52" s="235"/>
      <c r="P52" s="235"/>
      <c r="Q52" s="235"/>
      <c r="R52" s="230"/>
      <c r="S52" s="230"/>
      <c r="T52" s="230"/>
    </row>
    <row r="53" spans="1:20" s="16" customFormat="1" ht="127.5" x14ac:dyDescent="0.2">
      <c r="A53" s="387" t="s">
        <v>243</v>
      </c>
      <c r="B53" s="387" t="s">
        <v>208</v>
      </c>
      <c r="C53" s="180" t="s">
        <v>209</v>
      </c>
      <c r="D53" s="8"/>
      <c r="E53" s="17"/>
      <c r="F53" s="112"/>
      <c r="G53" s="11"/>
      <c r="H53" s="120"/>
      <c r="I53" s="11"/>
      <c r="K53" s="235"/>
      <c r="L53" s="235"/>
      <c r="M53" s="235"/>
      <c r="N53" s="235"/>
      <c r="O53" s="235"/>
      <c r="P53" s="235"/>
      <c r="Q53" s="235"/>
      <c r="R53" s="230"/>
      <c r="S53" s="230"/>
      <c r="T53" s="230"/>
    </row>
    <row r="54" spans="1:20" s="16" customFormat="1" ht="33" customHeight="1" x14ac:dyDescent="0.2">
      <c r="A54" s="387"/>
      <c r="B54" s="387"/>
      <c r="C54" s="181" t="s">
        <v>241</v>
      </c>
      <c r="D54" s="8" t="s">
        <v>213</v>
      </c>
      <c r="E54" s="117">
        <f>264*5</f>
        <v>1320</v>
      </c>
      <c r="F54" s="112">
        <v>3.52</v>
      </c>
      <c r="G54" s="11">
        <f>E54*F54</f>
        <v>4646.3999999999996</v>
      </c>
      <c r="H54" s="120">
        <v>0</v>
      </c>
      <c r="I54" s="11">
        <f>G54*H54</f>
        <v>0</v>
      </c>
      <c r="K54" s="235"/>
      <c r="L54" s="235"/>
      <c r="M54" s="235"/>
      <c r="N54" s="235"/>
      <c r="O54" s="235"/>
      <c r="P54" s="235"/>
      <c r="Q54" s="235"/>
      <c r="R54" s="230"/>
      <c r="S54" s="230"/>
      <c r="T54" s="230"/>
    </row>
    <row r="55" spans="1:20" s="16" customFormat="1" ht="102" x14ac:dyDescent="0.2">
      <c r="A55" s="387" t="s">
        <v>243</v>
      </c>
      <c r="B55" s="387" t="s">
        <v>210</v>
      </c>
      <c r="C55" s="180" t="s">
        <v>211</v>
      </c>
      <c r="D55" s="8"/>
      <c r="E55" s="17"/>
      <c r="F55" s="112"/>
      <c r="G55" s="11"/>
      <c r="H55" s="120"/>
      <c r="I55" s="11"/>
      <c r="K55" s="235"/>
      <c r="L55" s="235"/>
      <c r="M55" s="235"/>
      <c r="N55" s="235"/>
      <c r="O55" s="235"/>
      <c r="P55" s="235"/>
      <c r="Q55" s="235"/>
      <c r="R55" s="230"/>
      <c r="S55" s="230"/>
      <c r="T55" s="230"/>
    </row>
    <row r="56" spans="1:20" s="16" customFormat="1" x14ac:dyDescent="0.2">
      <c r="A56" s="387"/>
      <c r="B56" s="387"/>
      <c r="C56" s="181" t="s">
        <v>242</v>
      </c>
      <c r="D56" s="8" t="s">
        <v>202</v>
      </c>
      <c r="E56" s="117">
        <f>264*5</f>
        <v>1320</v>
      </c>
      <c r="F56" s="112">
        <v>3.2</v>
      </c>
      <c r="G56" s="11">
        <f>E56*F56</f>
        <v>4224</v>
      </c>
      <c r="H56" s="120">
        <v>0</v>
      </c>
      <c r="I56" s="11">
        <f>G56*H56</f>
        <v>0</v>
      </c>
      <c r="K56" s="235"/>
      <c r="L56" s="235"/>
      <c r="M56" s="235"/>
      <c r="N56" s="235"/>
      <c r="O56" s="235"/>
      <c r="P56" s="235"/>
      <c r="Q56" s="235"/>
      <c r="R56" s="230"/>
      <c r="S56" s="230"/>
      <c r="T56" s="230"/>
    </row>
    <row r="57" spans="1:20" s="16" customFormat="1" x14ac:dyDescent="0.2">
      <c r="A57" s="387"/>
      <c r="B57" s="387"/>
      <c r="C57" s="32"/>
      <c r="D57" s="8"/>
      <c r="E57" s="17"/>
      <c r="F57" s="7"/>
      <c r="G57" s="11"/>
      <c r="H57" s="121"/>
      <c r="I57" s="11"/>
      <c r="K57" s="235"/>
      <c r="L57" s="235"/>
      <c r="M57" s="235"/>
      <c r="N57" s="235"/>
      <c r="O57" s="235"/>
      <c r="P57" s="235"/>
      <c r="Q57" s="235"/>
      <c r="R57" s="230"/>
      <c r="S57" s="230"/>
      <c r="T57" s="230"/>
    </row>
    <row r="58" spans="1:20" s="31" customFormat="1" x14ac:dyDescent="0.2">
      <c r="A58" s="387"/>
      <c r="B58" s="387"/>
      <c r="C58" s="122" t="s">
        <v>260</v>
      </c>
      <c r="D58" s="8"/>
      <c r="E58" s="23"/>
      <c r="F58" s="26"/>
      <c r="G58" s="29">
        <f>SUM(G46:G57)</f>
        <v>13791.38</v>
      </c>
      <c r="H58" s="116">
        <f>I58/G58</f>
        <v>0</v>
      </c>
      <c r="I58" s="29">
        <f>SUM(I46:I57)</f>
        <v>0</v>
      </c>
      <c r="K58" s="235"/>
      <c r="L58" s="235"/>
      <c r="M58" s="235"/>
      <c r="N58" s="235"/>
      <c r="O58" s="235"/>
      <c r="P58" s="235"/>
      <c r="Q58" s="235"/>
      <c r="R58" s="236"/>
      <c r="S58" s="236"/>
      <c r="T58" s="236"/>
    </row>
    <row r="59" spans="1:20" s="16" customFormat="1" x14ac:dyDescent="0.2">
      <c r="A59" s="387"/>
      <c r="B59" s="387"/>
      <c r="C59" s="32"/>
      <c r="D59" s="8"/>
      <c r="E59" s="17"/>
      <c r="F59" s="7"/>
      <c r="G59" s="11"/>
      <c r="H59" s="121"/>
      <c r="I59" s="11"/>
      <c r="K59" s="235"/>
      <c r="L59" s="235"/>
      <c r="M59" s="235"/>
      <c r="N59" s="235"/>
      <c r="O59" s="235"/>
      <c r="P59" s="235"/>
      <c r="Q59" s="235"/>
      <c r="R59" s="230"/>
      <c r="S59" s="230"/>
      <c r="T59" s="230"/>
    </row>
    <row r="60" spans="1:20" s="31" customFormat="1" x14ac:dyDescent="0.2">
      <c r="A60" s="387"/>
      <c r="B60" s="387"/>
      <c r="C60" s="122" t="s">
        <v>256</v>
      </c>
      <c r="D60" s="8"/>
      <c r="E60" s="23"/>
      <c r="F60" s="26"/>
      <c r="G60" s="29">
        <f>G43+G58</f>
        <v>137769.37</v>
      </c>
      <c r="H60" s="116">
        <f>I60/G60</f>
        <v>4.5045029965659275E-3</v>
      </c>
      <c r="I60" s="29">
        <f t="shared" ref="I60" si="0">I43+I58</f>
        <v>620.58253999999999</v>
      </c>
      <c r="K60" s="238"/>
      <c r="L60" s="238"/>
      <c r="M60" s="238"/>
      <c r="N60" s="238"/>
      <c r="O60" s="238"/>
      <c r="P60" s="238"/>
      <c r="Q60" s="238"/>
      <c r="R60" s="238"/>
      <c r="S60" s="236"/>
      <c r="T60" s="236"/>
    </row>
    <row r="61" spans="1:20" s="16" customFormat="1" x14ac:dyDescent="0.2">
      <c r="A61" s="387"/>
      <c r="B61" s="387"/>
      <c r="C61" s="118"/>
      <c r="D61" s="8"/>
      <c r="E61" s="17"/>
      <c r="F61" s="12"/>
      <c r="G61" s="11"/>
      <c r="H61" s="66"/>
      <c r="I61" s="11"/>
      <c r="K61" s="235"/>
      <c r="L61" s="235"/>
      <c r="M61" s="235"/>
      <c r="N61" s="235"/>
      <c r="O61" s="235"/>
      <c r="P61" s="235"/>
      <c r="Q61" s="235"/>
      <c r="R61" s="230"/>
      <c r="S61" s="230"/>
      <c r="T61" s="230"/>
    </row>
    <row r="62" spans="1:20" s="16" customFormat="1" x14ac:dyDescent="0.2">
      <c r="A62" s="387"/>
      <c r="B62" s="387"/>
      <c r="C62" s="110" t="s">
        <v>69</v>
      </c>
      <c r="D62" s="8"/>
      <c r="E62" s="67"/>
      <c r="F62" s="112"/>
      <c r="G62" s="109"/>
      <c r="H62" s="113"/>
      <c r="I62" s="109"/>
      <c r="J62" s="15"/>
      <c r="K62" s="232"/>
      <c r="L62" s="232"/>
      <c r="M62" s="232"/>
      <c r="N62" s="232"/>
      <c r="O62" s="235"/>
      <c r="P62" s="235"/>
      <c r="Q62" s="235"/>
      <c r="R62" s="230"/>
      <c r="S62" s="230"/>
      <c r="T62" s="230"/>
    </row>
    <row r="63" spans="1:20" s="16" customFormat="1" x14ac:dyDescent="0.2">
      <c r="A63" s="387"/>
      <c r="B63" s="387"/>
      <c r="C63" s="24"/>
      <c r="D63" s="8"/>
      <c r="E63" s="67"/>
      <c r="F63" s="12"/>
      <c r="G63" s="109"/>
      <c r="H63" s="66"/>
      <c r="I63" s="109"/>
      <c r="J63" s="15"/>
      <c r="K63" s="232"/>
      <c r="L63" s="232"/>
      <c r="M63" s="232"/>
      <c r="N63" s="232"/>
      <c r="O63" s="235"/>
      <c r="P63" s="235"/>
      <c r="Q63" s="235"/>
      <c r="R63" s="230"/>
      <c r="S63" s="230"/>
      <c r="T63" s="230"/>
    </row>
    <row r="64" spans="1:20" s="31" customFormat="1" x14ac:dyDescent="0.2">
      <c r="A64" s="387"/>
      <c r="B64" s="387"/>
      <c r="C64" s="43" t="s">
        <v>172</v>
      </c>
      <c r="D64" s="8"/>
      <c r="E64" s="115"/>
      <c r="F64" s="26"/>
      <c r="G64" s="27"/>
      <c r="H64" s="116"/>
      <c r="I64" s="27"/>
      <c r="J64" s="30"/>
      <c r="K64" s="232"/>
      <c r="L64" s="232"/>
      <c r="M64" s="232"/>
      <c r="N64" s="232"/>
      <c r="O64" s="235"/>
      <c r="P64" s="235"/>
      <c r="Q64" s="235"/>
      <c r="R64" s="236"/>
      <c r="S64" s="236"/>
      <c r="T64" s="236"/>
    </row>
    <row r="65" spans="1:20" s="16" customFormat="1" x14ac:dyDescent="0.2">
      <c r="A65" s="387"/>
      <c r="B65" s="387"/>
      <c r="C65" s="20"/>
      <c r="D65" s="8"/>
      <c r="E65" s="17"/>
      <c r="F65" s="12"/>
      <c r="G65" s="11"/>
      <c r="H65" s="66"/>
      <c r="I65" s="11"/>
      <c r="J65" s="15"/>
      <c r="K65" s="232"/>
      <c r="L65" s="232"/>
      <c r="M65" s="232"/>
      <c r="N65" s="232"/>
      <c r="O65" s="232"/>
      <c r="P65" s="232"/>
      <c r="Q65" s="239"/>
      <c r="R65" s="94"/>
      <c r="S65" s="94"/>
      <c r="T65" s="230"/>
    </row>
    <row r="66" spans="1:20" s="125" customFormat="1" x14ac:dyDescent="0.2">
      <c r="A66" s="387"/>
      <c r="B66" s="387"/>
      <c r="C66" s="128" t="s">
        <v>120</v>
      </c>
      <c r="D66" s="8"/>
      <c r="E66" s="17"/>
      <c r="F66" s="12"/>
      <c r="G66" s="11"/>
      <c r="H66" s="66"/>
      <c r="I66" s="11"/>
      <c r="J66" s="127"/>
      <c r="K66" s="232"/>
      <c r="L66" s="232"/>
      <c r="M66" s="232"/>
      <c r="N66" s="232"/>
      <c r="O66" s="235"/>
      <c r="P66" s="235"/>
      <c r="Q66" s="235"/>
      <c r="R66" s="230"/>
      <c r="S66" s="230"/>
      <c r="T66" s="230"/>
    </row>
    <row r="67" spans="1:20" s="125" customFormat="1" ht="114.75" x14ac:dyDescent="0.2">
      <c r="A67" s="387" t="s">
        <v>110</v>
      </c>
      <c r="B67" s="387" t="s">
        <v>114</v>
      </c>
      <c r="C67" s="14" t="s">
        <v>121</v>
      </c>
      <c r="D67" s="8" t="s">
        <v>20</v>
      </c>
      <c r="E67" s="123">
        <v>10</v>
      </c>
      <c r="F67" s="21">
        <v>39.67</v>
      </c>
      <c r="G67" s="19">
        <f>E67*F67</f>
        <v>396.70000000000005</v>
      </c>
      <c r="H67" s="124">
        <v>0.87729999999999997</v>
      </c>
      <c r="I67" s="19">
        <f>G67*H67</f>
        <v>348.02491000000003</v>
      </c>
      <c r="J67" s="126"/>
      <c r="K67" s="235"/>
      <c r="L67" s="235"/>
      <c r="M67" s="232"/>
      <c r="N67" s="232"/>
      <c r="O67" s="235"/>
      <c r="P67" s="235"/>
      <c r="Q67" s="235"/>
      <c r="R67" s="230"/>
      <c r="S67" s="230"/>
      <c r="T67" s="230"/>
    </row>
    <row r="68" spans="1:20" s="125" customFormat="1" ht="102" x14ac:dyDescent="0.2">
      <c r="A68" s="387"/>
      <c r="B68" s="387"/>
      <c r="C68" s="14" t="s">
        <v>122</v>
      </c>
      <c r="D68" s="8"/>
      <c r="E68" s="104"/>
      <c r="F68" s="21"/>
      <c r="G68" s="106"/>
      <c r="H68" s="124"/>
      <c r="I68" s="106"/>
      <c r="J68" s="126"/>
      <c r="K68" s="232"/>
      <c r="L68" s="232"/>
      <c r="M68" s="232"/>
      <c r="N68" s="232"/>
      <c r="O68" s="235"/>
      <c r="P68" s="235"/>
      <c r="Q68" s="235"/>
      <c r="R68" s="230"/>
      <c r="S68" s="230"/>
      <c r="T68" s="230"/>
    </row>
    <row r="69" spans="1:20" s="392" customFormat="1" ht="18" customHeight="1" x14ac:dyDescent="0.2">
      <c r="A69" s="387" t="s">
        <v>110</v>
      </c>
      <c r="B69" s="387" t="s">
        <v>259</v>
      </c>
      <c r="C69" s="33" t="s">
        <v>258</v>
      </c>
      <c r="D69" s="8" t="s">
        <v>20</v>
      </c>
      <c r="E69" s="388">
        <f>E67</f>
        <v>10</v>
      </c>
      <c r="F69" s="389">
        <v>195.25</v>
      </c>
      <c r="G69" s="390">
        <f>E69*F69</f>
        <v>1952.5</v>
      </c>
      <c r="H69" s="391">
        <v>0.53469999999999995</v>
      </c>
      <c r="I69" s="390">
        <f>G69*H69</f>
        <v>1044.0017499999999</v>
      </c>
      <c r="K69" s="240"/>
      <c r="L69" s="240"/>
      <c r="M69" s="240"/>
      <c r="N69" s="240"/>
      <c r="O69" s="240"/>
      <c r="P69" s="240"/>
      <c r="Q69" s="240"/>
      <c r="R69" s="393"/>
      <c r="S69" s="393"/>
      <c r="T69" s="393"/>
    </row>
    <row r="70" spans="1:20" s="125" customFormat="1" x14ac:dyDescent="0.2">
      <c r="A70" s="387"/>
      <c r="B70" s="387"/>
      <c r="C70" s="14" t="s">
        <v>115</v>
      </c>
      <c r="D70" s="8"/>
      <c r="E70" s="104"/>
      <c r="F70" s="21"/>
      <c r="G70" s="106"/>
      <c r="H70" s="124"/>
      <c r="I70" s="106"/>
      <c r="J70" s="126"/>
      <c r="K70" s="232"/>
      <c r="L70" s="232"/>
      <c r="M70" s="232"/>
      <c r="N70" s="232"/>
      <c r="O70" s="235"/>
      <c r="P70" s="235"/>
      <c r="Q70" s="235"/>
      <c r="R70" s="230"/>
      <c r="S70" s="230"/>
      <c r="T70" s="230"/>
    </row>
    <row r="71" spans="1:20" s="125" customFormat="1" ht="25.5" x14ac:dyDescent="0.2">
      <c r="A71" s="387" t="s">
        <v>50</v>
      </c>
      <c r="B71" s="387" t="s">
        <v>117</v>
      </c>
      <c r="C71" s="14" t="s">
        <v>116</v>
      </c>
      <c r="D71" s="8"/>
      <c r="E71" s="123"/>
      <c r="F71" s="21"/>
      <c r="G71" s="19"/>
      <c r="H71" s="124"/>
      <c r="I71" s="19"/>
      <c r="J71" s="126"/>
      <c r="K71" s="232"/>
      <c r="L71" s="232"/>
      <c r="M71" s="232"/>
      <c r="N71" s="232"/>
      <c r="O71" s="235"/>
      <c r="P71" s="235"/>
      <c r="Q71" s="235"/>
      <c r="R71" s="230"/>
      <c r="S71" s="230"/>
      <c r="T71" s="230"/>
    </row>
    <row r="72" spans="1:20" s="16" customFormat="1" x14ac:dyDescent="0.2">
      <c r="A72" s="387"/>
      <c r="B72" s="387"/>
      <c r="C72" s="32" t="s">
        <v>142</v>
      </c>
      <c r="D72" s="8" t="s">
        <v>20</v>
      </c>
      <c r="E72" s="17">
        <f>E67</f>
        <v>10</v>
      </c>
      <c r="F72" s="12"/>
      <c r="G72" s="11"/>
      <c r="H72" s="66"/>
      <c r="I72" s="11"/>
      <c r="K72" s="235"/>
      <c r="L72" s="235"/>
      <c r="M72" s="235"/>
      <c r="N72" s="235"/>
      <c r="O72" s="235"/>
      <c r="P72" s="235"/>
      <c r="Q72" s="235"/>
      <c r="R72" s="230"/>
      <c r="S72" s="230"/>
      <c r="T72" s="230"/>
    </row>
    <row r="73" spans="1:20" s="16" customFormat="1" x14ac:dyDescent="0.2">
      <c r="A73" s="387"/>
      <c r="B73" s="387"/>
      <c r="C73" s="118" t="s">
        <v>13</v>
      </c>
      <c r="D73" s="8" t="s">
        <v>20</v>
      </c>
      <c r="E73" s="119">
        <f>ROUND(SUM(E72:E72),0)</f>
        <v>10</v>
      </c>
      <c r="F73" s="21">
        <v>5.74</v>
      </c>
      <c r="G73" s="19">
        <f>E73*F73</f>
        <v>57.400000000000006</v>
      </c>
      <c r="H73" s="124">
        <v>0.55369999999999997</v>
      </c>
      <c r="I73" s="19">
        <f>G73*H73</f>
        <v>31.78238</v>
      </c>
      <c r="K73" s="235"/>
      <c r="L73" s="235"/>
      <c r="M73" s="235"/>
      <c r="N73" s="235"/>
      <c r="O73" s="235"/>
      <c r="P73" s="235"/>
      <c r="Q73" s="235"/>
      <c r="R73" s="230"/>
      <c r="S73" s="230"/>
      <c r="T73" s="230"/>
    </row>
    <row r="74" spans="1:20" s="16" customFormat="1" ht="25.5" x14ac:dyDescent="0.2">
      <c r="A74" s="387" t="s">
        <v>50</v>
      </c>
      <c r="B74" s="387" t="s">
        <v>119</v>
      </c>
      <c r="C74" s="33" t="s">
        <v>118</v>
      </c>
      <c r="D74" s="8" t="s">
        <v>20</v>
      </c>
      <c r="E74" s="123">
        <f>E73</f>
        <v>10</v>
      </c>
      <c r="F74" s="21">
        <v>29.49</v>
      </c>
      <c r="G74" s="19">
        <f>E74*F74</f>
        <v>294.89999999999998</v>
      </c>
      <c r="H74" s="124">
        <v>0.75839999999999996</v>
      </c>
      <c r="I74" s="19">
        <f>G74*H74</f>
        <v>223.65215999999998</v>
      </c>
      <c r="J74" s="15"/>
      <c r="K74" s="235"/>
      <c r="L74" s="235"/>
      <c r="M74" s="235"/>
      <c r="N74" s="235"/>
      <c r="O74" s="235"/>
      <c r="P74" s="235"/>
      <c r="Q74" s="235"/>
      <c r="R74" s="230"/>
      <c r="S74" s="230"/>
      <c r="T74" s="230"/>
    </row>
    <row r="75" spans="1:20" s="125" customFormat="1" x14ac:dyDescent="0.2">
      <c r="A75" s="387"/>
      <c r="B75" s="387"/>
      <c r="C75" s="14"/>
      <c r="D75" s="8"/>
      <c r="E75" s="17"/>
      <c r="F75" s="12"/>
      <c r="G75" s="11"/>
      <c r="H75" s="66"/>
      <c r="I75" s="11"/>
      <c r="J75" s="127"/>
      <c r="K75" s="232"/>
      <c r="L75" s="232"/>
      <c r="M75" s="232"/>
      <c r="N75" s="232"/>
      <c r="O75" s="235"/>
      <c r="P75" s="235"/>
      <c r="Q75" s="235"/>
      <c r="R75" s="230"/>
      <c r="S75" s="230"/>
      <c r="T75" s="230"/>
    </row>
    <row r="76" spans="1:20" s="31" customFormat="1" x14ac:dyDescent="0.2">
      <c r="A76" s="387"/>
      <c r="B76" s="387"/>
      <c r="C76" s="122" t="s">
        <v>85</v>
      </c>
      <c r="D76" s="8"/>
      <c r="E76" s="23"/>
      <c r="F76" s="26"/>
      <c r="G76" s="29">
        <f>SUM(G65:G75)</f>
        <v>2701.5</v>
      </c>
      <c r="H76" s="116">
        <f>I76/G76</f>
        <v>0.60983201924856567</v>
      </c>
      <c r="I76" s="29">
        <f>SUM(I65:I75)</f>
        <v>1647.4612000000002</v>
      </c>
      <c r="K76" s="238"/>
      <c r="L76" s="238"/>
      <c r="M76" s="238"/>
      <c r="N76" s="238"/>
      <c r="O76" s="238"/>
      <c r="P76" s="238"/>
      <c r="Q76" s="238"/>
      <c r="R76" s="238"/>
      <c r="S76" s="236"/>
      <c r="T76" s="236"/>
    </row>
    <row r="77" spans="1:20" s="16" customFormat="1" x14ac:dyDescent="0.2">
      <c r="A77" s="387"/>
      <c r="B77" s="387"/>
      <c r="C77" s="14"/>
      <c r="D77" s="8"/>
      <c r="E77" s="17"/>
      <c r="F77" s="12"/>
      <c r="G77" s="11"/>
      <c r="H77" s="66"/>
      <c r="I77" s="11"/>
      <c r="K77" s="235"/>
      <c r="L77" s="235"/>
      <c r="M77" s="235"/>
      <c r="N77" s="235"/>
      <c r="O77" s="235"/>
      <c r="P77" s="235"/>
      <c r="Q77" s="235"/>
      <c r="R77" s="230"/>
      <c r="S77" s="230"/>
      <c r="T77" s="230"/>
    </row>
    <row r="78" spans="1:20" s="31" customFormat="1" x14ac:dyDescent="0.2">
      <c r="A78" s="387"/>
      <c r="B78" s="387"/>
      <c r="C78" s="43" t="s">
        <v>175</v>
      </c>
      <c r="D78" s="8"/>
      <c r="E78" s="115"/>
      <c r="F78" s="26"/>
      <c r="G78" s="27"/>
      <c r="H78" s="116"/>
      <c r="I78" s="27"/>
      <c r="J78" s="30"/>
      <c r="K78" s="232"/>
      <c r="L78" s="232"/>
      <c r="M78" s="232"/>
      <c r="N78" s="232"/>
      <c r="O78" s="235"/>
      <c r="P78" s="235"/>
      <c r="Q78" s="235"/>
      <c r="R78" s="236"/>
      <c r="S78" s="236"/>
      <c r="T78" s="236"/>
    </row>
    <row r="79" spans="1:20" s="31" customFormat="1" x14ac:dyDescent="0.2">
      <c r="A79" s="387"/>
      <c r="B79" s="387"/>
      <c r="C79" s="24"/>
      <c r="D79" s="8"/>
      <c r="E79" s="115"/>
      <c r="F79" s="26"/>
      <c r="G79" s="27"/>
      <c r="H79" s="116"/>
      <c r="I79" s="27"/>
      <c r="J79" s="30"/>
      <c r="K79" s="232"/>
      <c r="L79" s="232"/>
      <c r="M79" s="232"/>
      <c r="N79" s="232"/>
      <c r="O79" s="235"/>
      <c r="P79" s="235"/>
      <c r="Q79" s="235"/>
      <c r="R79" s="236"/>
      <c r="S79" s="236"/>
      <c r="T79" s="236"/>
    </row>
    <row r="80" spans="1:20" s="31" customFormat="1" x14ac:dyDescent="0.2">
      <c r="A80" s="387"/>
      <c r="B80" s="387"/>
      <c r="C80" s="114" t="s">
        <v>71</v>
      </c>
      <c r="D80" s="8"/>
      <c r="E80" s="115"/>
      <c r="F80" s="26"/>
      <c r="G80" s="27"/>
      <c r="H80" s="116"/>
      <c r="I80" s="27"/>
      <c r="J80" s="30"/>
      <c r="K80" s="232"/>
      <c r="L80" s="232"/>
      <c r="M80" s="232"/>
      <c r="N80" s="232"/>
      <c r="O80" s="235"/>
      <c r="P80" s="235"/>
      <c r="Q80" s="235"/>
      <c r="R80" s="236"/>
      <c r="S80" s="236"/>
      <c r="T80" s="236"/>
    </row>
    <row r="81" spans="1:20" s="2" customFormat="1" ht="25.5" x14ac:dyDescent="0.2">
      <c r="A81" s="387" t="s">
        <v>50</v>
      </c>
      <c r="B81" s="387" t="s">
        <v>30</v>
      </c>
      <c r="C81" s="14" t="s">
        <v>29</v>
      </c>
      <c r="D81" s="8"/>
      <c r="E81" s="17"/>
      <c r="F81" s="12"/>
      <c r="G81" s="11"/>
      <c r="H81" s="66"/>
      <c r="I81" s="11"/>
      <c r="J81" s="15"/>
      <c r="K81" s="237"/>
      <c r="L81" s="237"/>
      <c r="M81" s="237"/>
      <c r="N81" s="237"/>
      <c r="O81" s="237"/>
      <c r="P81" s="237"/>
      <c r="Q81" s="237"/>
      <c r="R81" s="231"/>
      <c r="S81" s="231"/>
      <c r="T81" s="231"/>
    </row>
    <row r="82" spans="1:20" s="2" customFormat="1" x14ac:dyDescent="0.2">
      <c r="A82" s="387"/>
      <c r="B82" s="387"/>
      <c r="C82" s="22" t="s">
        <v>72</v>
      </c>
      <c r="D82" s="8" t="s">
        <v>20</v>
      </c>
      <c r="E82" s="17">
        <v>78.349999999999994</v>
      </c>
      <c r="F82" s="12"/>
      <c r="G82" s="11"/>
      <c r="H82" s="66"/>
      <c r="I82" s="11"/>
      <c r="K82" s="237"/>
      <c r="L82" s="237"/>
      <c r="M82" s="237"/>
      <c r="N82" s="237"/>
      <c r="O82" s="237"/>
      <c r="P82" s="237"/>
      <c r="Q82" s="237"/>
      <c r="R82" s="231"/>
      <c r="S82" s="231"/>
      <c r="T82" s="231"/>
    </row>
    <row r="83" spans="1:20" s="2" customFormat="1" x14ac:dyDescent="0.2">
      <c r="A83" s="387"/>
      <c r="B83" s="387"/>
      <c r="C83" s="22" t="s">
        <v>73</v>
      </c>
      <c r="D83" s="8" t="s">
        <v>20</v>
      </c>
      <c r="E83" s="17">
        <v>78.349999999999994</v>
      </c>
      <c r="F83" s="12"/>
      <c r="G83" s="11"/>
      <c r="H83" s="66"/>
      <c r="I83" s="11"/>
      <c r="K83" s="237"/>
      <c r="L83" s="237"/>
      <c r="M83" s="237"/>
      <c r="N83" s="237"/>
      <c r="O83" s="237"/>
      <c r="P83" s="237"/>
      <c r="Q83" s="237"/>
      <c r="R83" s="231"/>
      <c r="S83" s="231"/>
      <c r="T83" s="231"/>
    </row>
    <row r="84" spans="1:20" s="2" customFormat="1" x14ac:dyDescent="0.2">
      <c r="A84" s="387"/>
      <c r="B84" s="387"/>
      <c r="C84" s="22" t="s">
        <v>74</v>
      </c>
      <c r="D84" s="8" t="s">
        <v>20</v>
      </c>
      <c r="E84" s="17">
        <v>78.349999999999994</v>
      </c>
      <c r="F84" s="12"/>
      <c r="G84" s="11"/>
      <c r="H84" s="66"/>
      <c r="I84" s="11"/>
      <c r="K84" s="237"/>
      <c r="L84" s="237"/>
      <c r="M84" s="237"/>
      <c r="N84" s="237"/>
      <c r="O84" s="237"/>
      <c r="P84" s="237"/>
      <c r="Q84" s="237"/>
      <c r="R84" s="231"/>
      <c r="S84" s="231"/>
      <c r="T84" s="231"/>
    </row>
    <row r="85" spans="1:20" s="2" customFormat="1" ht="12.75" customHeight="1" x14ac:dyDescent="0.2">
      <c r="A85" s="387"/>
      <c r="B85" s="387"/>
      <c r="C85" s="22" t="s">
        <v>75</v>
      </c>
      <c r="D85" s="8" t="s">
        <v>20</v>
      </c>
      <c r="E85" s="17">
        <v>78.349999999999994</v>
      </c>
      <c r="F85" s="12"/>
      <c r="G85" s="11"/>
      <c r="H85" s="66"/>
      <c r="I85" s="11"/>
      <c r="K85" s="237"/>
      <c r="L85" s="237"/>
      <c r="M85" s="237"/>
      <c r="N85" s="237"/>
      <c r="O85" s="237"/>
      <c r="P85" s="237"/>
      <c r="Q85" s="237"/>
      <c r="R85" s="231"/>
      <c r="S85" s="231"/>
      <c r="T85" s="231"/>
    </row>
    <row r="86" spans="1:20" s="16" customFormat="1" x14ac:dyDescent="0.2">
      <c r="A86" s="387"/>
      <c r="B86" s="387"/>
      <c r="C86" s="118" t="s">
        <v>13</v>
      </c>
      <c r="D86" s="8" t="s">
        <v>20</v>
      </c>
      <c r="E86" s="119">
        <f>SUM(E82:E85)</f>
        <v>313.39999999999998</v>
      </c>
      <c r="F86" s="12">
        <v>30.22</v>
      </c>
      <c r="G86" s="11">
        <f>E86*F86</f>
        <v>9470.9479999999985</v>
      </c>
      <c r="H86" s="66">
        <v>0.99990000000000001</v>
      </c>
      <c r="I86" s="11">
        <f>G86*H86</f>
        <v>9470.0009051999987</v>
      </c>
      <c r="K86" s="235"/>
      <c r="L86" s="235"/>
      <c r="M86" s="235"/>
      <c r="N86" s="235"/>
      <c r="O86" s="235"/>
      <c r="P86" s="235"/>
      <c r="Q86" s="235"/>
      <c r="R86" s="230"/>
      <c r="S86" s="230"/>
      <c r="T86" s="230"/>
    </row>
    <row r="87" spans="1:20" s="16" customFormat="1" x14ac:dyDescent="0.2">
      <c r="A87" s="387"/>
      <c r="B87" s="387"/>
      <c r="C87" s="118"/>
      <c r="D87" s="8"/>
      <c r="E87" s="17"/>
      <c r="F87" s="12"/>
      <c r="G87" s="11"/>
      <c r="H87" s="66"/>
      <c r="I87" s="11"/>
      <c r="K87" s="235"/>
      <c r="L87" s="235"/>
      <c r="M87" s="235"/>
      <c r="N87" s="235"/>
      <c r="O87" s="235"/>
      <c r="P87" s="235"/>
      <c r="Q87" s="235"/>
      <c r="R87" s="230"/>
      <c r="S87" s="230"/>
      <c r="T87" s="230"/>
    </row>
    <row r="88" spans="1:20" s="31" customFormat="1" x14ac:dyDescent="0.2">
      <c r="A88" s="387"/>
      <c r="B88" s="387"/>
      <c r="C88" s="114" t="s">
        <v>70</v>
      </c>
      <c r="D88" s="8"/>
      <c r="E88" s="115"/>
      <c r="F88" s="26"/>
      <c r="G88" s="27"/>
      <c r="H88" s="116"/>
      <c r="I88" s="27"/>
      <c r="J88" s="30"/>
      <c r="K88" s="232"/>
      <c r="L88" s="232"/>
      <c r="M88" s="232"/>
      <c r="N88" s="232"/>
      <c r="O88" s="235"/>
      <c r="P88" s="235"/>
      <c r="Q88" s="235"/>
      <c r="R88" s="236"/>
      <c r="S88" s="236"/>
      <c r="T88" s="236"/>
    </row>
    <row r="89" spans="1:20" s="400" customFormat="1" ht="38.25" x14ac:dyDescent="0.2">
      <c r="A89" s="387"/>
      <c r="B89" s="387"/>
      <c r="C89" s="20" t="s">
        <v>181</v>
      </c>
      <c r="D89" s="8"/>
      <c r="E89" s="394"/>
      <c r="F89" s="395"/>
      <c r="G89" s="396"/>
      <c r="H89" s="397"/>
      <c r="I89" s="396"/>
      <c r="J89" s="16"/>
      <c r="K89" s="235"/>
      <c r="L89" s="235"/>
      <c r="M89" s="235"/>
      <c r="N89" s="235"/>
      <c r="O89" s="398"/>
      <c r="P89" s="398"/>
      <c r="Q89" s="398"/>
      <c r="R89" s="399"/>
      <c r="S89" s="399"/>
      <c r="T89" s="399"/>
    </row>
    <row r="90" spans="1:20" s="406" customFormat="1" ht="18" customHeight="1" x14ac:dyDescent="0.2">
      <c r="A90" s="387" t="s">
        <v>110</v>
      </c>
      <c r="B90" s="387" t="s">
        <v>179</v>
      </c>
      <c r="C90" s="130" t="s">
        <v>180</v>
      </c>
      <c r="D90" s="8" t="s">
        <v>38</v>
      </c>
      <c r="E90" s="61">
        <f>2600*E85*0.055*0.001</f>
        <v>11.204049999999999</v>
      </c>
      <c r="F90" s="401">
        <v>60.72</v>
      </c>
      <c r="G90" s="63">
        <f>E90*F90</f>
        <v>680.30991599999993</v>
      </c>
      <c r="H90" s="402">
        <v>0</v>
      </c>
      <c r="I90" s="63">
        <f>G90*H90</f>
        <v>0</v>
      </c>
      <c r="J90" s="403"/>
      <c r="K90" s="240"/>
      <c r="L90" s="240"/>
      <c r="M90" s="240"/>
      <c r="N90" s="240"/>
      <c r="O90" s="404"/>
      <c r="P90" s="404"/>
      <c r="Q90" s="404"/>
      <c r="R90" s="405"/>
      <c r="S90" s="405"/>
      <c r="T90" s="405"/>
    </row>
    <row r="91" spans="1:20" s="403" customFormat="1" ht="18" customHeight="1" x14ac:dyDescent="0.2">
      <c r="A91" s="387" t="s">
        <v>110</v>
      </c>
      <c r="B91" s="387" t="s">
        <v>245</v>
      </c>
      <c r="C91" s="130" t="s">
        <v>246</v>
      </c>
      <c r="D91" s="8" t="s">
        <v>38</v>
      </c>
      <c r="E91" s="61">
        <f>2600*E86*0.055*0.001</f>
        <v>44.816199999999995</v>
      </c>
      <c r="F91" s="401">
        <v>0.01</v>
      </c>
      <c r="G91" s="63">
        <f>E91*F91</f>
        <v>0.44816199999999995</v>
      </c>
      <c r="H91" s="402">
        <v>0</v>
      </c>
      <c r="I91" s="63">
        <f>G91*H91</f>
        <v>0</v>
      </c>
      <c r="K91" s="240"/>
      <c r="L91" s="240"/>
      <c r="M91" s="240"/>
      <c r="N91" s="240"/>
      <c r="O91" s="240"/>
      <c r="P91" s="240"/>
      <c r="Q91" s="240"/>
      <c r="R91" s="393"/>
      <c r="S91" s="393"/>
      <c r="T91" s="393"/>
    </row>
    <row r="92" spans="1:20" s="400" customFormat="1" ht="51" x14ac:dyDescent="0.2">
      <c r="A92" s="387" t="s">
        <v>50</v>
      </c>
      <c r="B92" s="387" t="s">
        <v>54</v>
      </c>
      <c r="C92" s="20" t="s">
        <v>56</v>
      </c>
      <c r="D92" s="8"/>
      <c r="E92" s="394"/>
      <c r="F92" s="395"/>
      <c r="G92" s="396"/>
      <c r="H92" s="397"/>
      <c r="I92" s="396"/>
      <c r="J92" s="16"/>
      <c r="K92" s="235"/>
      <c r="L92" s="235"/>
      <c r="M92" s="235"/>
      <c r="N92" s="235"/>
      <c r="O92" s="398"/>
      <c r="P92" s="398"/>
      <c r="Q92" s="398"/>
      <c r="R92" s="399"/>
      <c r="S92" s="399"/>
      <c r="T92" s="399"/>
    </row>
    <row r="93" spans="1:20" s="16" customFormat="1" x14ac:dyDescent="0.2">
      <c r="A93" s="387"/>
      <c r="B93" s="387"/>
      <c r="C93" s="32" t="s">
        <v>156</v>
      </c>
      <c r="D93" s="8" t="s">
        <v>38</v>
      </c>
      <c r="E93" s="17">
        <f>2600*E88*0.055*0.001</f>
        <v>0</v>
      </c>
      <c r="F93" s="407">
        <v>34.79</v>
      </c>
      <c r="G93" s="11">
        <f>E93*F93</f>
        <v>0</v>
      </c>
      <c r="H93" s="397">
        <v>0</v>
      </c>
      <c r="I93" s="11">
        <f>G93*H93</f>
        <v>0</v>
      </c>
      <c r="K93" s="235"/>
      <c r="L93" s="235"/>
      <c r="M93" s="235"/>
      <c r="N93" s="235"/>
      <c r="O93" s="235"/>
      <c r="P93" s="235"/>
      <c r="Q93" s="235"/>
      <c r="R93" s="230"/>
      <c r="S93" s="230"/>
      <c r="T93" s="230"/>
    </row>
    <row r="94" spans="1:20" s="125" customFormat="1" ht="51" x14ac:dyDescent="0.2">
      <c r="A94" s="387"/>
      <c r="B94" s="387"/>
      <c r="C94" s="14" t="s">
        <v>39</v>
      </c>
      <c r="D94" s="8"/>
      <c r="E94" s="17"/>
      <c r="F94" s="12"/>
      <c r="G94" s="11"/>
      <c r="H94" s="66"/>
      <c r="I94" s="11"/>
      <c r="J94" s="126"/>
      <c r="K94" s="232"/>
      <c r="L94" s="232"/>
      <c r="M94" s="232"/>
      <c r="N94" s="232"/>
      <c r="O94" s="235"/>
      <c r="P94" s="235"/>
      <c r="Q94" s="235"/>
      <c r="R94" s="230"/>
      <c r="S94" s="230"/>
      <c r="T94" s="230"/>
    </row>
    <row r="95" spans="1:20" s="125" customFormat="1" x14ac:dyDescent="0.2">
      <c r="A95" s="387"/>
      <c r="B95" s="387"/>
      <c r="C95" s="22" t="s">
        <v>47</v>
      </c>
      <c r="D95" s="8"/>
      <c r="E95" s="17"/>
      <c r="F95" s="12"/>
      <c r="G95" s="11"/>
      <c r="H95" s="66"/>
      <c r="I95" s="11"/>
      <c r="J95" s="126"/>
      <c r="K95" s="232"/>
      <c r="L95" s="232"/>
      <c r="M95" s="232"/>
      <c r="N95" s="232"/>
      <c r="O95" s="235"/>
      <c r="P95" s="235"/>
      <c r="Q95" s="235"/>
      <c r="R95" s="230"/>
      <c r="S95" s="230"/>
      <c r="T95" s="230"/>
    </row>
    <row r="96" spans="1:20" s="392" customFormat="1" ht="18" customHeight="1" x14ac:dyDescent="0.2">
      <c r="A96" s="387" t="s">
        <v>50</v>
      </c>
      <c r="B96" s="387" t="s">
        <v>40</v>
      </c>
      <c r="C96" s="33" t="s">
        <v>41</v>
      </c>
      <c r="D96" s="8" t="s">
        <v>42</v>
      </c>
      <c r="E96" s="61">
        <f>(E86*0.055)*5</f>
        <v>86.184999999999988</v>
      </c>
      <c r="F96" s="62">
        <v>4.45</v>
      </c>
      <c r="G96" s="63">
        <f>E96*F96</f>
        <v>383.52324999999996</v>
      </c>
      <c r="H96" s="64">
        <v>0.69850000000000001</v>
      </c>
      <c r="I96" s="63">
        <f>G96*H96</f>
        <v>267.89099012499997</v>
      </c>
      <c r="K96" s="240"/>
      <c r="L96" s="240"/>
      <c r="M96" s="240"/>
      <c r="N96" s="240"/>
      <c r="O96" s="240"/>
      <c r="P96" s="240"/>
      <c r="Q96" s="240"/>
      <c r="R96" s="393"/>
      <c r="S96" s="393"/>
      <c r="T96" s="393"/>
    </row>
    <row r="97" spans="1:20" s="392" customFormat="1" ht="18" customHeight="1" x14ac:dyDescent="0.2">
      <c r="A97" s="387" t="s">
        <v>50</v>
      </c>
      <c r="B97" s="387" t="s">
        <v>43</v>
      </c>
      <c r="C97" s="33" t="s">
        <v>44</v>
      </c>
      <c r="D97" s="8" t="s">
        <v>42</v>
      </c>
      <c r="E97" s="61">
        <f>(E86*0.055)*5</f>
        <v>86.184999999999988</v>
      </c>
      <c r="F97" s="62">
        <v>3</v>
      </c>
      <c r="G97" s="63">
        <f>E97*F97</f>
        <v>258.55499999999995</v>
      </c>
      <c r="H97" s="64">
        <v>0.69850000000000001</v>
      </c>
      <c r="I97" s="63">
        <f>G97*H97</f>
        <v>180.60066749999996</v>
      </c>
      <c r="K97" s="240"/>
      <c r="L97" s="240"/>
      <c r="M97" s="240"/>
      <c r="N97" s="240"/>
      <c r="O97" s="240"/>
      <c r="P97" s="240"/>
      <c r="Q97" s="240"/>
      <c r="R97" s="393"/>
      <c r="S97" s="393"/>
      <c r="T97" s="393"/>
    </row>
    <row r="98" spans="1:20" s="392" customFormat="1" ht="18" customHeight="1" x14ac:dyDescent="0.2">
      <c r="A98" s="387" t="s">
        <v>50</v>
      </c>
      <c r="B98" s="387" t="s">
        <v>45</v>
      </c>
      <c r="C98" s="33" t="s">
        <v>46</v>
      </c>
      <c r="D98" s="8" t="s">
        <v>42</v>
      </c>
      <c r="E98" s="61">
        <f>(E86*0.055)*5</f>
        <v>86.184999999999988</v>
      </c>
      <c r="F98" s="62">
        <v>1.77</v>
      </c>
      <c r="G98" s="63">
        <f>E98*F98</f>
        <v>152.54744999999997</v>
      </c>
      <c r="H98" s="64">
        <v>0.69850000000000001</v>
      </c>
      <c r="I98" s="63">
        <f>G98*H98</f>
        <v>106.55439382499998</v>
      </c>
      <c r="J98" s="408"/>
      <c r="K98" s="240"/>
      <c r="L98" s="240"/>
      <c r="M98" s="240"/>
      <c r="N98" s="240"/>
      <c r="O98" s="240"/>
      <c r="P98" s="240"/>
      <c r="Q98" s="240"/>
      <c r="R98" s="393"/>
      <c r="S98" s="393"/>
      <c r="T98" s="393"/>
    </row>
    <row r="99" spans="1:20" s="16" customFormat="1" x14ac:dyDescent="0.2">
      <c r="A99" s="387"/>
      <c r="B99" s="387"/>
      <c r="C99" s="32"/>
      <c r="D99" s="8"/>
      <c r="E99" s="17"/>
      <c r="F99" s="7"/>
      <c r="G99" s="11"/>
      <c r="H99" s="121"/>
      <c r="I99" s="11"/>
      <c r="K99" s="235"/>
      <c r="L99" s="235"/>
      <c r="M99" s="235"/>
      <c r="N99" s="235"/>
      <c r="O99" s="235"/>
      <c r="P99" s="235"/>
      <c r="Q99" s="235"/>
      <c r="R99" s="230"/>
      <c r="S99" s="230"/>
      <c r="T99" s="230"/>
    </row>
    <row r="100" spans="1:20" s="31" customFormat="1" x14ac:dyDescent="0.2">
      <c r="A100" s="387"/>
      <c r="B100" s="387"/>
      <c r="C100" s="122" t="s">
        <v>260</v>
      </c>
      <c r="D100" s="8"/>
      <c r="E100" s="23"/>
      <c r="F100" s="26"/>
      <c r="G100" s="29">
        <f>SUM(G80:G99)</f>
        <v>10946.331778</v>
      </c>
      <c r="H100" s="116">
        <f>I100/G100</f>
        <v>0.91583620522067455</v>
      </c>
      <c r="I100" s="29">
        <f>SUM(I80:I99)</f>
        <v>10025.04695665</v>
      </c>
      <c r="K100" s="235"/>
      <c r="L100" s="235"/>
      <c r="M100" s="235"/>
      <c r="N100" s="235"/>
      <c r="O100" s="235"/>
      <c r="P100" s="235"/>
      <c r="Q100" s="235"/>
      <c r="R100" s="236"/>
      <c r="S100" s="236"/>
      <c r="T100" s="236"/>
    </row>
    <row r="101" spans="1:20" s="125" customFormat="1" x14ac:dyDescent="0.2">
      <c r="A101" s="387"/>
      <c r="B101" s="387"/>
      <c r="C101" s="14"/>
      <c r="D101" s="8"/>
      <c r="E101" s="17"/>
      <c r="F101" s="12"/>
      <c r="G101" s="11"/>
      <c r="H101" s="66"/>
      <c r="I101" s="11"/>
      <c r="J101" s="127"/>
      <c r="K101" s="232"/>
      <c r="L101" s="232"/>
      <c r="M101" s="232"/>
      <c r="N101" s="232"/>
      <c r="O101" s="235"/>
      <c r="P101" s="235"/>
      <c r="Q101" s="235"/>
      <c r="R101" s="230"/>
      <c r="S101" s="230"/>
      <c r="T101" s="230"/>
    </row>
    <row r="102" spans="1:20" s="31" customFormat="1" x14ac:dyDescent="0.2">
      <c r="A102" s="387"/>
      <c r="B102" s="387"/>
      <c r="C102" s="114" t="s">
        <v>57</v>
      </c>
      <c r="D102" s="8"/>
      <c r="E102" s="115"/>
      <c r="F102" s="26"/>
      <c r="G102" s="27"/>
      <c r="H102" s="116"/>
      <c r="I102" s="27"/>
      <c r="K102" s="235"/>
      <c r="L102" s="235"/>
      <c r="M102" s="235"/>
      <c r="N102" s="235"/>
      <c r="O102" s="235"/>
      <c r="P102" s="235"/>
      <c r="Q102" s="235"/>
      <c r="R102" s="236"/>
      <c r="S102" s="236"/>
      <c r="T102" s="236"/>
    </row>
    <row r="103" spans="1:20" ht="25.5" x14ac:dyDescent="0.2">
      <c r="A103" s="387" t="s">
        <v>50</v>
      </c>
      <c r="B103" s="387" t="s">
        <v>58</v>
      </c>
      <c r="C103" s="20" t="s">
        <v>59</v>
      </c>
      <c r="D103" s="8"/>
      <c r="E103" s="17"/>
      <c r="F103" s="13"/>
      <c r="G103" s="11"/>
      <c r="H103" s="129"/>
      <c r="I103" s="11"/>
      <c r="J103" s="16"/>
      <c r="K103" s="235"/>
      <c r="L103" s="235"/>
      <c r="M103" s="235"/>
      <c r="N103" s="235"/>
    </row>
    <row r="104" spans="1:20" x14ac:dyDescent="0.2">
      <c r="A104" s="387"/>
      <c r="B104" s="387"/>
      <c r="C104" s="32" t="s">
        <v>72</v>
      </c>
      <c r="D104" s="8" t="s">
        <v>19</v>
      </c>
      <c r="E104" s="17">
        <v>197.3</v>
      </c>
      <c r="F104" s="13"/>
      <c r="G104" s="11"/>
      <c r="H104" s="129"/>
      <c r="I104" s="11"/>
    </row>
    <row r="105" spans="1:20" x14ac:dyDescent="0.2">
      <c r="A105" s="387"/>
      <c r="B105" s="387"/>
      <c r="C105" s="32" t="s">
        <v>73</v>
      </c>
      <c r="D105" s="8" t="s">
        <v>19</v>
      </c>
      <c r="E105" s="17">
        <v>197.3</v>
      </c>
      <c r="F105" s="13"/>
      <c r="G105" s="11"/>
      <c r="H105" s="129"/>
      <c r="I105" s="11"/>
    </row>
    <row r="106" spans="1:20" x14ac:dyDescent="0.2">
      <c r="A106" s="387"/>
      <c r="B106" s="387"/>
      <c r="C106" s="32" t="s">
        <v>74</v>
      </c>
      <c r="D106" s="8" t="s">
        <v>19</v>
      </c>
      <c r="E106" s="17">
        <v>197.3</v>
      </c>
      <c r="F106" s="13"/>
      <c r="G106" s="11"/>
      <c r="H106" s="129"/>
      <c r="I106" s="11"/>
    </row>
    <row r="107" spans="1:20" x14ac:dyDescent="0.2">
      <c r="A107" s="387"/>
      <c r="B107" s="387"/>
      <c r="C107" s="32" t="s">
        <v>75</v>
      </c>
      <c r="D107" s="8" t="s">
        <v>19</v>
      </c>
      <c r="E107" s="17">
        <v>197.3</v>
      </c>
      <c r="F107" s="13"/>
      <c r="G107" s="11"/>
      <c r="H107" s="129"/>
      <c r="I107" s="11"/>
    </row>
    <row r="108" spans="1:20" s="16" customFormat="1" x14ac:dyDescent="0.2">
      <c r="A108" s="387"/>
      <c r="B108" s="387"/>
      <c r="C108" s="118" t="s">
        <v>13</v>
      </c>
      <c r="D108" s="8" t="s">
        <v>19</v>
      </c>
      <c r="E108" s="119">
        <f>SUM(E104:E107)</f>
        <v>789.2</v>
      </c>
      <c r="F108" s="13">
        <v>20.239999999999998</v>
      </c>
      <c r="G108" s="11">
        <f>E108*F108</f>
        <v>15973.407999999999</v>
      </c>
      <c r="H108" s="129">
        <v>0</v>
      </c>
      <c r="I108" s="11">
        <f>G108*H108</f>
        <v>0</v>
      </c>
      <c r="K108" s="235"/>
      <c r="L108" s="235"/>
      <c r="M108" s="235"/>
      <c r="N108" s="235"/>
      <c r="O108" s="235"/>
      <c r="P108" s="235"/>
      <c r="Q108" s="235"/>
      <c r="R108" s="230"/>
      <c r="S108" s="230"/>
      <c r="T108" s="230"/>
    </row>
    <row r="109" spans="1:20" x14ac:dyDescent="0.2">
      <c r="A109" s="387" t="s">
        <v>50</v>
      </c>
      <c r="B109" s="387" t="s">
        <v>61</v>
      </c>
      <c r="C109" s="20" t="s">
        <v>60</v>
      </c>
      <c r="D109" s="8" t="s">
        <v>19</v>
      </c>
      <c r="E109" s="17">
        <f>E108</f>
        <v>789.2</v>
      </c>
      <c r="F109" s="13">
        <v>34.299999999999997</v>
      </c>
      <c r="G109" s="11">
        <f>E109*F109</f>
        <v>27069.559999999998</v>
      </c>
      <c r="H109" s="129">
        <v>0.95830000000000004</v>
      </c>
      <c r="I109" s="11">
        <f>G109*H109</f>
        <v>25940.759348</v>
      </c>
      <c r="J109" s="16"/>
      <c r="K109" s="235"/>
      <c r="L109" s="235"/>
      <c r="M109" s="235"/>
      <c r="N109" s="235"/>
    </row>
    <row r="110" spans="1:20" s="2" customFormat="1" ht="140.25" x14ac:dyDescent="0.2">
      <c r="A110" s="387"/>
      <c r="B110" s="387"/>
      <c r="C110" s="14" t="s">
        <v>93</v>
      </c>
      <c r="D110" s="8"/>
      <c r="E110" s="17"/>
      <c r="F110" s="12"/>
      <c r="G110" s="11"/>
      <c r="H110" s="66"/>
      <c r="I110" s="11"/>
      <c r="J110" s="16"/>
      <c r="K110" s="235"/>
      <c r="L110" s="235"/>
      <c r="M110" s="235"/>
      <c r="N110" s="235"/>
      <c r="O110" s="237"/>
      <c r="P110" s="237"/>
      <c r="Q110" s="237"/>
      <c r="R110" s="231"/>
      <c r="S110" s="231"/>
      <c r="T110" s="231"/>
    </row>
    <row r="111" spans="1:20" s="2" customFormat="1" x14ac:dyDescent="0.2">
      <c r="A111" s="387" t="s">
        <v>50</v>
      </c>
      <c r="B111" s="387" t="s">
        <v>251</v>
      </c>
      <c r="C111" s="14" t="s">
        <v>250</v>
      </c>
      <c r="D111" s="8"/>
      <c r="E111" s="17"/>
      <c r="F111" s="12"/>
      <c r="G111" s="11"/>
      <c r="H111" s="66"/>
      <c r="I111" s="11"/>
      <c r="J111" s="16"/>
      <c r="K111" s="235"/>
      <c r="L111" s="235"/>
      <c r="M111" s="235"/>
      <c r="N111" s="235"/>
      <c r="O111" s="237"/>
      <c r="P111" s="237"/>
      <c r="Q111" s="237"/>
      <c r="R111" s="231"/>
      <c r="S111" s="231"/>
      <c r="T111" s="231"/>
    </row>
    <row r="112" spans="1:20" s="2" customFormat="1" x14ac:dyDescent="0.2">
      <c r="A112" s="387"/>
      <c r="B112" s="387"/>
      <c r="C112" s="22" t="s">
        <v>72</v>
      </c>
      <c r="D112" s="8" t="s">
        <v>20</v>
      </c>
      <c r="E112" s="17">
        <f>E82</f>
        <v>78.349999999999994</v>
      </c>
      <c r="F112" s="12"/>
      <c r="G112" s="11"/>
      <c r="H112" s="66"/>
      <c r="I112" s="11"/>
      <c r="K112" s="237"/>
      <c r="L112" s="237"/>
      <c r="M112" s="237"/>
      <c r="N112" s="237"/>
      <c r="O112" s="237"/>
      <c r="P112" s="237"/>
      <c r="Q112" s="237"/>
      <c r="R112" s="231"/>
      <c r="S112" s="231"/>
      <c r="T112" s="231"/>
    </row>
    <row r="113" spans="1:20" s="2" customFormat="1" x14ac:dyDescent="0.2">
      <c r="A113" s="387"/>
      <c r="B113" s="387"/>
      <c r="C113" s="22" t="s">
        <v>73</v>
      </c>
      <c r="D113" s="8" t="s">
        <v>20</v>
      </c>
      <c r="E113" s="17">
        <f>E83</f>
        <v>78.349999999999994</v>
      </c>
      <c r="F113" s="12"/>
      <c r="G113" s="11"/>
      <c r="H113" s="66"/>
      <c r="I113" s="11"/>
      <c r="K113" s="237"/>
      <c r="L113" s="237"/>
      <c r="M113" s="237"/>
      <c r="N113" s="237"/>
      <c r="O113" s="237"/>
      <c r="P113" s="237"/>
      <c r="Q113" s="237"/>
      <c r="R113" s="231"/>
      <c r="S113" s="231"/>
      <c r="T113" s="231"/>
    </row>
    <row r="114" spans="1:20" s="2" customFormat="1" x14ac:dyDescent="0.2">
      <c r="A114" s="387"/>
      <c r="B114" s="387"/>
      <c r="C114" s="22" t="s">
        <v>74</v>
      </c>
      <c r="D114" s="8" t="s">
        <v>20</v>
      </c>
      <c r="E114" s="17">
        <f>E84</f>
        <v>78.349999999999994</v>
      </c>
      <c r="F114" s="12"/>
      <c r="G114" s="11"/>
      <c r="H114" s="66"/>
      <c r="I114" s="11"/>
      <c r="K114" s="237"/>
      <c r="L114" s="237"/>
      <c r="M114" s="237"/>
      <c r="N114" s="237"/>
      <c r="O114" s="237"/>
      <c r="P114" s="237"/>
      <c r="Q114" s="237"/>
      <c r="R114" s="231"/>
      <c r="S114" s="231"/>
      <c r="T114" s="231"/>
    </row>
    <row r="115" spans="1:20" s="2" customFormat="1" x14ac:dyDescent="0.2">
      <c r="A115" s="387"/>
      <c r="B115" s="387"/>
      <c r="C115" s="22" t="s">
        <v>75</v>
      </c>
      <c r="D115" s="8" t="s">
        <v>20</v>
      </c>
      <c r="E115" s="17">
        <f>E85</f>
        <v>78.349999999999994</v>
      </c>
      <c r="F115" s="12"/>
      <c r="G115" s="11"/>
      <c r="H115" s="66"/>
      <c r="I115" s="11"/>
      <c r="K115" s="237"/>
      <c r="L115" s="237"/>
      <c r="M115" s="237"/>
      <c r="N115" s="237"/>
      <c r="O115" s="237"/>
      <c r="P115" s="237"/>
      <c r="Q115" s="237"/>
      <c r="R115" s="231"/>
      <c r="S115" s="231"/>
      <c r="T115" s="231"/>
    </row>
    <row r="116" spans="1:20" s="16" customFormat="1" x14ac:dyDescent="0.2">
      <c r="A116" s="387"/>
      <c r="B116" s="387"/>
      <c r="C116" s="118" t="s">
        <v>13</v>
      </c>
      <c r="D116" s="8" t="s">
        <v>20</v>
      </c>
      <c r="E116" s="119">
        <f>SUM(E112:E115)</f>
        <v>313.39999999999998</v>
      </c>
      <c r="F116" s="12">
        <v>499.49</v>
      </c>
      <c r="G116" s="11">
        <f>E116*F116</f>
        <v>156540.166</v>
      </c>
      <c r="H116" s="66">
        <v>0</v>
      </c>
      <c r="I116" s="11">
        <f>G116*H116</f>
        <v>0</v>
      </c>
      <c r="K116" s="235"/>
      <c r="L116" s="235"/>
      <c r="M116" s="235"/>
      <c r="N116" s="235"/>
      <c r="O116" s="235"/>
      <c r="P116" s="235"/>
      <c r="Q116" s="235"/>
      <c r="R116" s="230"/>
      <c r="S116" s="230"/>
      <c r="T116" s="230"/>
    </row>
    <row r="117" spans="1:20" s="2" customFormat="1" ht="25.5" x14ac:dyDescent="0.2">
      <c r="A117" s="387" t="s">
        <v>50</v>
      </c>
      <c r="B117" s="387" t="s">
        <v>86</v>
      </c>
      <c r="C117" s="14" t="s">
        <v>28</v>
      </c>
      <c r="D117" s="8" t="s">
        <v>20</v>
      </c>
      <c r="E117" s="17">
        <f>E116</f>
        <v>313.39999999999998</v>
      </c>
      <c r="F117" s="12">
        <v>48.71</v>
      </c>
      <c r="G117" s="11">
        <f>E117*F117</f>
        <v>15265.714</v>
      </c>
      <c r="H117" s="66">
        <v>0.99960000000000004</v>
      </c>
      <c r="I117" s="11">
        <f>G117*H117</f>
        <v>15259.607714400001</v>
      </c>
      <c r="K117" s="237"/>
      <c r="L117" s="237"/>
      <c r="M117" s="235"/>
      <c r="N117" s="235"/>
      <c r="O117" s="237"/>
      <c r="P117" s="237"/>
      <c r="Q117" s="237"/>
      <c r="R117" s="231"/>
      <c r="S117" s="231"/>
      <c r="T117" s="231"/>
    </row>
    <row r="118" spans="1:20" s="16" customFormat="1" x14ac:dyDescent="0.2">
      <c r="A118" s="387"/>
      <c r="B118" s="387"/>
      <c r="C118" s="32"/>
      <c r="D118" s="8"/>
      <c r="E118" s="17"/>
      <c r="F118" s="7"/>
      <c r="G118" s="11"/>
      <c r="H118" s="121"/>
      <c r="I118" s="11"/>
      <c r="K118" s="235"/>
      <c r="L118" s="235"/>
      <c r="M118" s="235"/>
      <c r="N118" s="235"/>
      <c r="O118" s="235"/>
      <c r="P118" s="235"/>
      <c r="Q118" s="235"/>
      <c r="R118" s="230"/>
      <c r="S118" s="230"/>
      <c r="T118" s="230"/>
    </row>
    <row r="119" spans="1:20" s="31" customFormat="1" x14ac:dyDescent="0.2">
      <c r="A119" s="387"/>
      <c r="B119" s="387"/>
      <c r="C119" s="122" t="s">
        <v>260</v>
      </c>
      <c r="D119" s="8"/>
      <c r="E119" s="23"/>
      <c r="F119" s="26"/>
      <c r="G119" s="29">
        <f>SUM(G102:G118)</f>
        <v>214848.848</v>
      </c>
      <c r="H119" s="116">
        <f>I119/G119</f>
        <v>0.19176443088212416</v>
      </c>
      <c r="I119" s="29">
        <f>SUM(I102:I118)</f>
        <v>41200.367062400001</v>
      </c>
      <c r="K119" s="235"/>
      <c r="L119" s="235"/>
      <c r="M119" s="235"/>
      <c r="N119" s="235"/>
      <c r="O119" s="235"/>
      <c r="P119" s="235"/>
      <c r="Q119" s="235"/>
      <c r="R119" s="236"/>
      <c r="S119" s="236"/>
      <c r="T119" s="236"/>
    </row>
    <row r="120" spans="1:20" s="16" customFormat="1" x14ac:dyDescent="0.2">
      <c r="A120" s="387"/>
      <c r="B120" s="387"/>
      <c r="C120" s="14"/>
      <c r="D120" s="8"/>
      <c r="E120" s="17"/>
      <c r="F120" s="12"/>
      <c r="G120" s="11"/>
      <c r="H120" s="66"/>
      <c r="I120" s="11"/>
      <c r="K120" s="235"/>
      <c r="L120" s="235"/>
      <c r="M120" s="235"/>
      <c r="N120" s="235"/>
      <c r="O120" s="235"/>
      <c r="P120" s="235"/>
      <c r="Q120" s="235"/>
      <c r="R120" s="230"/>
      <c r="S120" s="230"/>
      <c r="T120" s="230"/>
    </row>
    <row r="121" spans="1:20" s="31" customFormat="1" x14ac:dyDescent="0.2">
      <c r="A121" s="387"/>
      <c r="B121" s="387"/>
      <c r="C121" s="122" t="s">
        <v>77</v>
      </c>
      <c r="D121" s="8"/>
      <c r="E121" s="23"/>
      <c r="F121" s="26"/>
      <c r="G121" s="29">
        <f>G100+G119</f>
        <v>225795.17977799999</v>
      </c>
      <c r="H121" s="116">
        <f>I121/G121</f>
        <v>0.22686672970350572</v>
      </c>
      <c r="I121" s="29">
        <f>I100+I119</f>
        <v>51225.414019050004</v>
      </c>
      <c r="K121" s="238"/>
      <c r="L121" s="238"/>
      <c r="M121" s="238"/>
      <c r="N121" s="238"/>
      <c r="O121" s="238"/>
      <c r="P121" s="238"/>
      <c r="Q121" s="238"/>
      <c r="R121" s="238"/>
      <c r="S121" s="236"/>
      <c r="T121" s="236"/>
    </row>
    <row r="122" spans="1:20" s="16" customFormat="1" x14ac:dyDescent="0.2">
      <c r="A122" s="387"/>
      <c r="B122" s="387"/>
      <c r="C122" s="14"/>
      <c r="D122" s="8"/>
      <c r="E122" s="17"/>
      <c r="F122" s="12"/>
      <c r="G122" s="11"/>
      <c r="H122" s="66"/>
      <c r="I122" s="11"/>
      <c r="K122" s="235"/>
      <c r="L122" s="235"/>
      <c r="M122" s="235"/>
      <c r="N122" s="235"/>
      <c r="O122" s="235"/>
      <c r="P122" s="235"/>
      <c r="Q122" s="235"/>
      <c r="R122" s="230"/>
      <c r="S122" s="230"/>
      <c r="T122" s="230"/>
    </row>
    <row r="123" spans="1:20" s="31" customFormat="1" x14ac:dyDescent="0.2">
      <c r="A123" s="387"/>
      <c r="B123" s="387"/>
      <c r="C123" s="43" t="s">
        <v>176</v>
      </c>
      <c r="D123" s="8"/>
      <c r="E123" s="115"/>
      <c r="F123" s="26"/>
      <c r="G123" s="27"/>
      <c r="H123" s="116"/>
      <c r="I123" s="27"/>
      <c r="J123" s="30"/>
      <c r="K123" s="232"/>
      <c r="L123" s="232"/>
      <c r="M123" s="232"/>
      <c r="N123" s="232"/>
      <c r="O123" s="235"/>
      <c r="P123" s="235"/>
      <c r="Q123" s="235"/>
      <c r="R123" s="236"/>
      <c r="S123" s="236"/>
      <c r="T123" s="236"/>
    </row>
    <row r="124" spans="1:20" s="31" customFormat="1" x14ac:dyDescent="0.2">
      <c r="A124" s="387"/>
      <c r="B124" s="387"/>
      <c r="C124" s="131"/>
      <c r="D124" s="8"/>
      <c r="E124" s="115"/>
      <c r="F124" s="26"/>
      <c r="G124" s="27"/>
      <c r="H124" s="116"/>
      <c r="I124" s="27"/>
      <c r="J124" s="30"/>
      <c r="K124" s="232"/>
      <c r="L124" s="232"/>
      <c r="M124" s="232"/>
      <c r="N124" s="232"/>
      <c r="O124" s="235"/>
      <c r="P124" s="235"/>
      <c r="Q124" s="235"/>
      <c r="R124" s="236"/>
      <c r="S124" s="236"/>
      <c r="T124" s="236"/>
    </row>
    <row r="125" spans="1:20" s="31" customFormat="1" x14ac:dyDescent="0.2">
      <c r="A125" s="387"/>
      <c r="B125" s="387"/>
      <c r="C125" s="114" t="s">
        <v>111</v>
      </c>
      <c r="D125" s="8"/>
      <c r="E125" s="115"/>
      <c r="F125" s="26"/>
      <c r="G125" s="27"/>
      <c r="H125" s="116"/>
      <c r="I125" s="27"/>
      <c r="J125" s="30"/>
      <c r="K125" s="232"/>
      <c r="L125" s="232"/>
      <c r="M125" s="232"/>
      <c r="N125" s="232"/>
      <c r="O125" s="235"/>
      <c r="P125" s="235"/>
      <c r="Q125" s="235"/>
      <c r="R125" s="236"/>
      <c r="S125" s="236"/>
      <c r="T125" s="236"/>
    </row>
    <row r="126" spans="1:20" s="16" customFormat="1" ht="38.25" x14ac:dyDescent="0.2">
      <c r="A126" s="387"/>
      <c r="B126" s="387"/>
      <c r="C126" s="20" t="s">
        <v>94</v>
      </c>
      <c r="D126" s="8"/>
      <c r="E126" s="17"/>
      <c r="F126" s="112"/>
      <c r="G126" s="11"/>
      <c r="H126" s="113"/>
      <c r="I126" s="11"/>
      <c r="K126" s="235"/>
      <c r="L126" s="235"/>
      <c r="M126" s="235"/>
      <c r="N126" s="235"/>
      <c r="O126" s="235"/>
      <c r="P126" s="235"/>
      <c r="Q126" s="235"/>
      <c r="R126" s="230"/>
      <c r="S126" s="230"/>
      <c r="T126" s="230"/>
    </row>
    <row r="127" spans="1:20" s="403" customFormat="1" ht="18" customHeight="1" x14ac:dyDescent="0.2">
      <c r="A127" s="387" t="s">
        <v>95</v>
      </c>
      <c r="B127" s="387" t="s">
        <v>96</v>
      </c>
      <c r="C127" s="130" t="s">
        <v>98</v>
      </c>
      <c r="D127" s="8" t="s">
        <v>9</v>
      </c>
      <c r="E127" s="409">
        <v>1</v>
      </c>
      <c r="F127" s="410">
        <v>213.22</v>
      </c>
      <c r="G127" s="63">
        <f>E127*F127</f>
        <v>213.22</v>
      </c>
      <c r="H127" s="411">
        <v>0.2616</v>
      </c>
      <c r="I127" s="63">
        <f>G127*H127</f>
        <v>55.778351999999998</v>
      </c>
      <c r="K127" s="240"/>
      <c r="L127" s="240"/>
      <c r="M127" s="240"/>
      <c r="N127" s="240"/>
      <c r="O127" s="240"/>
      <c r="P127" s="240"/>
      <c r="Q127" s="240"/>
      <c r="R127" s="393"/>
      <c r="S127" s="393"/>
      <c r="T127" s="393"/>
    </row>
    <row r="128" spans="1:20" s="16" customFormat="1" ht="38.25" x14ac:dyDescent="0.2">
      <c r="A128" s="387" t="s">
        <v>95</v>
      </c>
      <c r="B128" s="387" t="s">
        <v>97</v>
      </c>
      <c r="C128" s="20" t="s">
        <v>99</v>
      </c>
      <c r="D128" s="8" t="s">
        <v>9</v>
      </c>
      <c r="E128" s="117">
        <v>0</v>
      </c>
      <c r="F128" s="112">
        <v>150.55000000000001</v>
      </c>
      <c r="G128" s="11">
        <f>E128*F128</f>
        <v>0</v>
      </c>
      <c r="H128" s="113">
        <v>3.7100000000000001E-2</v>
      </c>
      <c r="I128" s="11">
        <f>G128*H128</f>
        <v>0</v>
      </c>
      <c r="K128" s="235"/>
      <c r="L128" s="235"/>
      <c r="M128" s="235"/>
      <c r="N128" s="235"/>
      <c r="O128" s="235"/>
      <c r="P128" s="235"/>
      <c r="Q128" s="235"/>
      <c r="R128" s="230"/>
      <c r="S128" s="230"/>
      <c r="T128" s="230"/>
    </row>
    <row r="129" spans="1:20" s="16" customFormat="1" ht="102" x14ac:dyDescent="0.2">
      <c r="A129" s="387" t="s">
        <v>95</v>
      </c>
      <c r="B129" s="387" t="s">
        <v>101</v>
      </c>
      <c r="C129" s="14" t="s">
        <v>100</v>
      </c>
      <c r="D129" s="8"/>
      <c r="E129" s="17"/>
      <c r="F129" s="12"/>
      <c r="G129" s="11"/>
      <c r="H129" s="66"/>
      <c r="I129" s="11"/>
      <c r="J129" s="15"/>
      <c r="K129" s="232"/>
      <c r="L129" s="232"/>
      <c r="M129" s="232"/>
      <c r="N129" s="232"/>
      <c r="O129" s="235"/>
      <c r="P129" s="235"/>
      <c r="Q129" s="235"/>
      <c r="R129" s="230"/>
      <c r="S129" s="230"/>
      <c r="T129" s="230"/>
    </row>
    <row r="130" spans="1:20" s="16" customFormat="1" x14ac:dyDescent="0.2">
      <c r="A130" s="387"/>
      <c r="B130" s="387"/>
      <c r="C130" s="132" t="s">
        <v>159</v>
      </c>
      <c r="D130" s="8"/>
      <c r="E130" s="17"/>
      <c r="F130" s="12"/>
      <c r="G130" s="11"/>
      <c r="H130" s="66"/>
      <c r="I130" s="11"/>
      <c r="J130" s="15"/>
      <c r="K130" s="232"/>
      <c r="L130" s="232"/>
      <c r="M130" s="232"/>
      <c r="N130" s="232"/>
      <c r="O130" s="235"/>
      <c r="P130" s="235"/>
      <c r="Q130" s="235"/>
      <c r="R130" s="230"/>
      <c r="S130" s="230"/>
      <c r="T130" s="230"/>
    </row>
    <row r="131" spans="1:20" s="2" customFormat="1" x14ac:dyDescent="0.2">
      <c r="A131" s="387"/>
      <c r="B131" s="387"/>
      <c r="C131" s="22" t="s">
        <v>87</v>
      </c>
      <c r="D131" s="8" t="s">
        <v>37</v>
      </c>
      <c r="E131" s="17">
        <f>107*0.055</f>
        <v>5.8849999999999998</v>
      </c>
      <c r="F131" s="12"/>
      <c r="G131" s="11"/>
      <c r="H131" s="66"/>
      <c r="I131" s="11"/>
      <c r="K131" s="237"/>
      <c r="L131" s="237"/>
      <c r="M131" s="237"/>
      <c r="N131" s="237"/>
      <c r="O131" s="237"/>
      <c r="P131" s="237"/>
      <c r="Q131" s="237"/>
      <c r="R131" s="231"/>
      <c r="S131" s="231"/>
      <c r="T131" s="231"/>
    </row>
    <row r="132" spans="1:20" s="2" customFormat="1" x14ac:dyDescent="0.2">
      <c r="A132" s="387"/>
      <c r="B132" s="387"/>
      <c r="C132" s="22" t="s">
        <v>88</v>
      </c>
      <c r="D132" s="8" t="s">
        <v>37</v>
      </c>
      <c r="E132" s="17">
        <f>45*0.055</f>
        <v>2.4750000000000001</v>
      </c>
      <c r="F132" s="12"/>
      <c r="G132" s="11"/>
      <c r="H132" s="66"/>
      <c r="I132" s="11"/>
      <c r="K132" s="237"/>
      <c r="L132" s="237"/>
      <c r="M132" s="237"/>
      <c r="N132" s="237"/>
      <c r="O132" s="237"/>
      <c r="P132" s="237"/>
      <c r="Q132" s="237"/>
      <c r="R132" s="231"/>
      <c r="S132" s="231"/>
      <c r="T132" s="231"/>
    </row>
    <row r="133" spans="1:20" s="2" customFormat="1" x14ac:dyDescent="0.2">
      <c r="A133" s="387"/>
      <c r="B133" s="387"/>
      <c r="C133" s="22" t="s">
        <v>89</v>
      </c>
      <c r="D133" s="8" t="s">
        <v>37</v>
      </c>
      <c r="E133" s="17">
        <f>71*0.055</f>
        <v>3.9049999999999998</v>
      </c>
      <c r="F133" s="12"/>
      <c r="G133" s="11"/>
      <c r="H133" s="66"/>
      <c r="I133" s="11"/>
      <c r="K133" s="237"/>
      <c r="L133" s="237"/>
      <c r="M133" s="237"/>
      <c r="N133" s="237"/>
      <c r="O133" s="237"/>
      <c r="P133" s="237"/>
      <c r="Q133" s="237"/>
      <c r="R133" s="231"/>
      <c r="S133" s="231"/>
      <c r="T133" s="231"/>
    </row>
    <row r="134" spans="1:20" s="2" customFormat="1" x14ac:dyDescent="0.2">
      <c r="A134" s="387"/>
      <c r="B134" s="387"/>
      <c r="C134" s="22" t="s">
        <v>90</v>
      </c>
      <c r="D134" s="8" t="s">
        <v>37</v>
      </c>
      <c r="E134" s="17">
        <f>35*0.055</f>
        <v>1.925</v>
      </c>
      <c r="F134" s="12"/>
      <c r="G134" s="11"/>
      <c r="H134" s="66"/>
      <c r="I134" s="11"/>
      <c r="K134" s="237"/>
      <c r="L134" s="237"/>
      <c r="M134" s="237"/>
      <c r="N134" s="237"/>
      <c r="O134" s="237"/>
      <c r="P134" s="237"/>
      <c r="Q134" s="237"/>
      <c r="R134" s="231"/>
      <c r="S134" s="231"/>
      <c r="T134" s="231"/>
    </row>
    <row r="135" spans="1:20" s="2" customFormat="1" x14ac:dyDescent="0.2">
      <c r="A135" s="387"/>
      <c r="B135" s="387"/>
      <c r="C135" s="22" t="s">
        <v>91</v>
      </c>
      <c r="D135" s="8" t="s">
        <v>37</v>
      </c>
      <c r="E135" s="17">
        <f>35*0.055</f>
        <v>1.925</v>
      </c>
      <c r="F135" s="12"/>
      <c r="G135" s="11"/>
      <c r="H135" s="66"/>
      <c r="I135" s="11"/>
      <c r="K135" s="237"/>
      <c r="L135" s="237"/>
      <c r="M135" s="237"/>
      <c r="N135" s="237"/>
      <c r="O135" s="237"/>
      <c r="P135" s="237"/>
      <c r="Q135" s="237"/>
      <c r="R135" s="231"/>
      <c r="S135" s="231"/>
      <c r="T135" s="231"/>
    </row>
    <row r="136" spans="1:20" s="2" customFormat="1" x14ac:dyDescent="0.2">
      <c r="A136" s="387"/>
      <c r="B136" s="387"/>
      <c r="C136" s="22" t="s">
        <v>92</v>
      </c>
      <c r="D136" s="8" t="s">
        <v>37</v>
      </c>
      <c r="E136" s="17">
        <f>47*0.055</f>
        <v>2.585</v>
      </c>
      <c r="F136" s="12"/>
      <c r="G136" s="11"/>
      <c r="H136" s="66"/>
      <c r="I136" s="11"/>
      <c r="K136" s="237"/>
      <c r="L136" s="237"/>
      <c r="M136" s="237"/>
      <c r="N136" s="237"/>
      <c r="O136" s="237"/>
      <c r="P136" s="237"/>
      <c r="Q136" s="237"/>
      <c r="R136" s="231"/>
      <c r="S136" s="231"/>
      <c r="T136" s="231"/>
    </row>
    <row r="137" spans="1:20" s="2" customFormat="1" x14ac:dyDescent="0.2">
      <c r="A137" s="387"/>
      <c r="B137" s="387"/>
      <c r="C137" s="22" t="s">
        <v>183</v>
      </c>
      <c r="D137" s="8" t="s">
        <v>37</v>
      </c>
      <c r="E137" s="17">
        <f>47*0.055</f>
        <v>2.585</v>
      </c>
      <c r="F137" s="12"/>
      <c r="G137" s="11"/>
      <c r="H137" s="66"/>
      <c r="I137" s="11"/>
      <c r="K137" s="237"/>
      <c r="L137" s="237"/>
      <c r="M137" s="237"/>
      <c r="N137" s="237"/>
      <c r="O137" s="237"/>
      <c r="P137" s="237"/>
      <c r="Q137" s="237"/>
      <c r="R137" s="231"/>
      <c r="S137" s="231"/>
      <c r="T137" s="231"/>
    </row>
    <row r="138" spans="1:20" s="2" customFormat="1" x14ac:dyDescent="0.2">
      <c r="A138" s="387"/>
      <c r="B138" s="387"/>
      <c r="C138" s="22" t="s">
        <v>184</v>
      </c>
      <c r="D138" s="8" t="s">
        <v>37</v>
      </c>
      <c r="E138" s="17">
        <f>47*0.055</f>
        <v>2.585</v>
      </c>
      <c r="F138" s="12"/>
      <c r="G138" s="11"/>
      <c r="H138" s="66"/>
      <c r="I138" s="11"/>
      <c r="K138" s="237"/>
      <c r="L138" s="237"/>
      <c r="M138" s="237"/>
      <c r="N138" s="237"/>
      <c r="O138" s="237"/>
      <c r="P138" s="237"/>
      <c r="Q138" s="237"/>
      <c r="R138" s="231"/>
      <c r="S138" s="231"/>
      <c r="T138" s="231"/>
    </row>
    <row r="139" spans="1:20" s="16" customFormat="1" x14ac:dyDescent="0.2">
      <c r="A139" s="387"/>
      <c r="B139" s="387"/>
      <c r="C139" s="118" t="s">
        <v>13</v>
      </c>
      <c r="D139" s="8" t="s">
        <v>37</v>
      </c>
      <c r="E139" s="119">
        <f>SUM(E131:E138)</f>
        <v>23.87</v>
      </c>
      <c r="F139" s="12">
        <v>398.16</v>
      </c>
      <c r="G139" s="11">
        <f>E139*F139</f>
        <v>9504.0792000000001</v>
      </c>
      <c r="H139" s="66">
        <v>0.63319999999999999</v>
      </c>
      <c r="I139" s="11">
        <f>G139*H139</f>
        <v>6017.9829494400001</v>
      </c>
      <c r="K139" s="235"/>
      <c r="L139" s="235"/>
      <c r="M139" s="235"/>
      <c r="N139" s="235"/>
      <c r="O139" s="235"/>
      <c r="P139" s="235"/>
      <c r="Q139" s="235"/>
      <c r="R139" s="230"/>
      <c r="S139" s="230"/>
      <c r="T139" s="230"/>
    </row>
    <row r="140" spans="1:20" s="16" customFormat="1" ht="25.5" x14ac:dyDescent="0.2">
      <c r="A140" s="387"/>
      <c r="B140" s="387"/>
      <c r="C140" s="20" t="s">
        <v>102</v>
      </c>
      <c r="D140" s="8"/>
      <c r="E140" s="17"/>
      <c r="F140" s="12"/>
      <c r="G140" s="11"/>
      <c r="H140" s="66"/>
      <c r="I140" s="11"/>
      <c r="J140" s="15"/>
      <c r="K140" s="232"/>
      <c r="L140" s="232"/>
      <c r="M140" s="232"/>
      <c r="N140" s="232"/>
      <c r="O140" s="235"/>
      <c r="P140" s="235"/>
      <c r="Q140" s="235"/>
      <c r="R140" s="230"/>
      <c r="S140" s="230"/>
      <c r="T140" s="230"/>
    </row>
    <row r="141" spans="1:20" s="16" customFormat="1" ht="38.25" x14ac:dyDescent="0.2">
      <c r="A141" s="387" t="s">
        <v>50</v>
      </c>
      <c r="B141" s="387" t="s">
        <v>104</v>
      </c>
      <c r="C141" s="20" t="s">
        <v>103</v>
      </c>
      <c r="D141" s="8" t="s">
        <v>9</v>
      </c>
      <c r="E141" s="117">
        <v>1</v>
      </c>
      <c r="F141" s="12">
        <v>350</v>
      </c>
      <c r="G141" s="11">
        <f>E141*F141</f>
        <v>350</v>
      </c>
      <c r="H141" s="66">
        <v>0</v>
      </c>
      <c r="I141" s="11">
        <f>G141*H141</f>
        <v>0</v>
      </c>
      <c r="J141" s="15"/>
      <c r="K141" s="235"/>
      <c r="L141" s="235"/>
      <c r="M141" s="232"/>
      <c r="N141" s="232"/>
      <c r="O141" s="235"/>
      <c r="P141" s="235"/>
      <c r="Q141" s="235"/>
      <c r="R141" s="230"/>
      <c r="S141" s="230"/>
      <c r="T141" s="230"/>
    </row>
    <row r="142" spans="1:20" s="16" customFormat="1" x14ac:dyDescent="0.2">
      <c r="A142" s="387"/>
      <c r="B142" s="387"/>
      <c r="C142" s="20" t="s">
        <v>105</v>
      </c>
      <c r="D142" s="8"/>
      <c r="E142" s="17"/>
      <c r="F142" s="12"/>
      <c r="G142" s="11"/>
      <c r="H142" s="66"/>
      <c r="I142" s="11"/>
      <c r="J142" s="15"/>
      <c r="K142" s="232"/>
      <c r="L142" s="232"/>
      <c r="M142" s="232"/>
      <c r="N142" s="232"/>
      <c r="O142" s="235"/>
      <c r="P142" s="235"/>
      <c r="Q142" s="235"/>
      <c r="R142" s="230"/>
      <c r="S142" s="230"/>
      <c r="T142" s="230"/>
    </row>
    <row r="143" spans="1:20" s="16" customFormat="1" ht="25.5" x14ac:dyDescent="0.2">
      <c r="A143" s="387" t="s">
        <v>110</v>
      </c>
      <c r="B143" s="387" t="s">
        <v>113</v>
      </c>
      <c r="C143" s="20" t="s">
        <v>112</v>
      </c>
      <c r="D143" s="8" t="s">
        <v>38</v>
      </c>
      <c r="E143" s="17">
        <f>2000*E139*0.001</f>
        <v>47.74</v>
      </c>
      <c r="F143" s="12">
        <v>366.37</v>
      </c>
      <c r="G143" s="11">
        <f>E143*F143</f>
        <v>17490.503800000002</v>
      </c>
      <c r="H143" s="66">
        <v>0</v>
      </c>
      <c r="I143" s="11">
        <f>G143*H143</f>
        <v>0</v>
      </c>
      <c r="J143" s="15"/>
      <c r="K143" s="235"/>
      <c r="L143" s="235"/>
      <c r="M143" s="232"/>
      <c r="N143" s="232"/>
      <c r="O143" s="235"/>
      <c r="P143" s="235"/>
      <c r="Q143" s="235"/>
      <c r="R143" s="230"/>
      <c r="S143" s="230"/>
      <c r="T143" s="230"/>
    </row>
    <row r="144" spans="1:20" s="16" customFormat="1" x14ac:dyDescent="0.2">
      <c r="A144" s="387"/>
      <c r="B144" s="387"/>
      <c r="C144" s="32"/>
      <c r="D144" s="8"/>
      <c r="E144" s="17"/>
      <c r="F144" s="7"/>
      <c r="G144" s="11"/>
      <c r="H144" s="121"/>
      <c r="I144" s="11"/>
      <c r="K144" s="235"/>
      <c r="L144" s="235"/>
      <c r="M144" s="235"/>
      <c r="N144" s="235"/>
      <c r="O144" s="235"/>
      <c r="P144" s="235"/>
      <c r="Q144" s="235"/>
      <c r="R144" s="230"/>
      <c r="S144" s="230"/>
      <c r="T144" s="230"/>
    </row>
    <row r="145" spans="1:20" s="31" customFormat="1" x14ac:dyDescent="0.2">
      <c r="A145" s="387"/>
      <c r="B145" s="387"/>
      <c r="C145" s="122" t="s">
        <v>260</v>
      </c>
      <c r="D145" s="8"/>
      <c r="E145" s="23"/>
      <c r="F145" s="26"/>
      <c r="G145" s="29">
        <f>SUM(G125:G144)</f>
        <v>27557.803</v>
      </c>
      <c r="H145" s="116">
        <f>I145/G145</f>
        <v>0.22040078091276</v>
      </c>
      <c r="I145" s="29">
        <f>SUM(I125:I144)</f>
        <v>6073.7613014400004</v>
      </c>
      <c r="K145" s="235"/>
      <c r="L145" s="235"/>
      <c r="M145" s="235"/>
      <c r="N145" s="235"/>
      <c r="O145" s="235"/>
      <c r="P145" s="235"/>
      <c r="Q145" s="235"/>
      <c r="R145" s="236"/>
      <c r="S145" s="236"/>
      <c r="T145" s="236"/>
    </row>
    <row r="146" spans="1:20" s="16" customFormat="1" x14ac:dyDescent="0.2">
      <c r="A146" s="387"/>
      <c r="B146" s="387"/>
      <c r="C146" s="20"/>
      <c r="D146" s="8"/>
      <c r="E146" s="17"/>
      <c r="F146" s="12"/>
      <c r="G146" s="11"/>
      <c r="H146" s="66"/>
      <c r="I146" s="11"/>
      <c r="J146" s="15"/>
      <c r="K146" s="232"/>
      <c r="L146" s="232"/>
      <c r="M146" s="232"/>
      <c r="N146" s="232"/>
      <c r="O146" s="232"/>
      <c r="P146" s="232"/>
      <c r="Q146" s="239"/>
      <c r="R146" s="94"/>
      <c r="S146" s="94"/>
      <c r="T146" s="230"/>
    </row>
    <row r="147" spans="1:20" s="31" customFormat="1" x14ac:dyDescent="0.2">
      <c r="A147" s="387"/>
      <c r="B147" s="387"/>
      <c r="C147" s="114" t="s">
        <v>71</v>
      </c>
      <c r="D147" s="8"/>
      <c r="E147" s="115"/>
      <c r="F147" s="26"/>
      <c r="G147" s="27"/>
      <c r="H147" s="116"/>
      <c r="I147" s="27"/>
      <c r="J147" s="30"/>
      <c r="K147" s="232"/>
      <c r="L147" s="232"/>
      <c r="M147" s="232"/>
      <c r="N147" s="232"/>
      <c r="O147" s="235"/>
      <c r="P147" s="235"/>
      <c r="Q147" s="235"/>
      <c r="R147" s="236"/>
      <c r="S147" s="236"/>
      <c r="T147" s="236"/>
    </row>
    <row r="148" spans="1:20" s="2" customFormat="1" ht="25.5" x14ac:dyDescent="0.2">
      <c r="A148" s="387" t="s">
        <v>50</v>
      </c>
      <c r="B148" s="387" t="s">
        <v>30</v>
      </c>
      <c r="C148" s="14" t="s">
        <v>29</v>
      </c>
      <c r="D148" s="8"/>
      <c r="E148" s="17"/>
      <c r="F148" s="12"/>
      <c r="G148" s="11"/>
      <c r="H148" s="66"/>
      <c r="I148" s="11"/>
      <c r="J148" s="15"/>
      <c r="K148" s="237"/>
      <c r="L148" s="237"/>
      <c r="M148" s="237"/>
      <c r="N148" s="237"/>
      <c r="O148" s="237"/>
      <c r="P148" s="237"/>
      <c r="Q148" s="237"/>
      <c r="R148" s="231"/>
      <c r="S148" s="231"/>
      <c r="T148" s="231"/>
    </row>
    <row r="149" spans="1:20" s="2" customFormat="1" x14ac:dyDescent="0.2">
      <c r="A149" s="387"/>
      <c r="B149" s="387"/>
      <c r="C149" s="22" t="s">
        <v>87</v>
      </c>
      <c r="D149" s="8" t="s">
        <v>20</v>
      </c>
      <c r="E149" s="17">
        <f>5.54*15.54*4</f>
        <v>344.3664</v>
      </c>
      <c r="F149" s="12"/>
      <c r="G149" s="11"/>
      <c r="H149" s="66"/>
      <c r="I149" s="11"/>
      <c r="K149" s="237"/>
      <c r="L149" s="237"/>
      <c r="M149" s="237"/>
      <c r="N149" s="237"/>
      <c r="O149" s="237"/>
      <c r="P149" s="237"/>
      <c r="Q149" s="237"/>
      <c r="R149" s="231"/>
      <c r="S149" s="231"/>
      <c r="T149" s="231"/>
    </row>
    <row r="150" spans="1:20" s="2" customFormat="1" x14ac:dyDescent="0.2">
      <c r="A150" s="387"/>
      <c r="B150" s="387"/>
      <c r="C150" s="22" t="s">
        <v>88</v>
      </c>
      <c r="D150" s="8" t="s">
        <v>20</v>
      </c>
      <c r="E150" s="17">
        <f>6.91*15.4</f>
        <v>106.414</v>
      </c>
      <c r="F150" s="12"/>
      <c r="G150" s="11"/>
      <c r="H150" s="66"/>
      <c r="I150" s="11"/>
      <c r="K150" s="237"/>
      <c r="L150" s="237"/>
      <c r="M150" s="237"/>
      <c r="N150" s="237"/>
      <c r="O150" s="237"/>
      <c r="P150" s="237"/>
      <c r="Q150" s="237"/>
      <c r="R150" s="231"/>
      <c r="S150" s="231"/>
      <c r="T150" s="231"/>
    </row>
    <row r="151" spans="1:20" s="2" customFormat="1" x14ac:dyDescent="0.2">
      <c r="A151" s="387"/>
      <c r="B151" s="387"/>
      <c r="C151" s="22" t="s">
        <v>89</v>
      </c>
      <c r="D151" s="8" t="s">
        <v>20</v>
      </c>
      <c r="E151" s="17">
        <f>6.75*15.4*2</f>
        <v>207.9</v>
      </c>
      <c r="F151" s="12"/>
      <c r="G151" s="11"/>
      <c r="H151" s="66"/>
      <c r="I151" s="11"/>
      <c r="K151" s="237"/>
      <c r="L151" s="237"/>
      <c r="M151" s="237"/>
      <c r="N151" s="237"/>
      <c r="O151" s="237"/>
      <c r="P151" s="237"/>
      <c r="Q151" s="237"/>
      <c r="R151" s="231"/>
      <c r="S151" s="231"/>
      <c r="T151" s="231"/>
    </row>
    <row r="152" spans="1:20" s="2" customFormat="1" x14ac:dyDescent="0.2">
      <c r="A152" s="387"/>
      <c r="B152" s="387"/>
      <c r="C152" s="22" t="s">
        <v>90</v>
      </c>
      <c r="D152" s="8" t="s">
        <v>20</v>
      </c>
      <c r="E152" s="17">
        <f>5.54*15.4</f>
        <v>85.316000000000003</v>
      </c>
      <c r="F152" s="12"/>
      <c r="G152" s="11"/>
      <c r="H152" s="66"/>
      <c r="I152" s="11"/>
      <c r="K152" s="237"/>
      <c r="L152" s="237"/>
      <c r="M152" s="237"/>
      <c r="N152" s="237"/>
      <c r="O152" s="237"/>
      <c r="P152" s="237"/>
      <c r="Q152" s="237"/>
      <c r="R152" s="231"/>
      <c r="S152" s="231"/>
      <c r="T152" s="231"/>
    </row>
    <row r="153" spans="1:20" s="2" customFormat="1" x14ac:dyDescent="0.2">
      <c r="A153" s="387"/>
      <c r="B153" s="387"/>
      <c r="C153" s="22" t="s">
        <v>91</v>
      </c>
      <c r="D153" s="8" t="s">
        <v>20</v>
      </c>
      <c r="E153" s="17">
        <f>5.54*15.4</f>
        <v>85.316000000000003</v>
      </c>
      <c r="F153" s="12"/>
      <c r="G153" s="11"/>
      <c r="H153" s="66"/>
      <c r="I153" s="11"/>
      <c r="K153" s="237"/>
      <c r="L153" s="237"/>
      <c r="M153" s="237"/>
      <c r="N153" s="237"/>
      <c r="O153" s="237"/>
      <c r="P153" s="237"/>
      <c r="Q153" s="237"/>
      <c r="R153" s="231"/>
      <c r="S153" s="231"/>
      <c r="T153" s="231"/>
    </row>
    <row r="154" spans="1:20" s="2" customFormat="1" x14ac:dyDescent="0.2">
      <c r="A154" s="387"/>
      <c r="B154" s="387"/>
      <c r="C154" s="22" t="s">
        <v>92</v>
      </c>
      <c r="D154" s="8" t="s">
        <v>20</v>
      </c>
      <c r="E154" s="17">
        <f>5.73*19.49</f>
        <v>111.6777</v>
      </c>
      <c r="F154" s="12"/>
      <c r="G154" s="11"/>
      <c r="H154" s="66"/>
      <c r="I154" s="11"/>
      <c r="K154" s="237"/>
      <c r="L154" s="237"/>
      <c r="M154" s="237"/>
      <c r="N154" s="237"/>
      <c r="O154" s="237"/>
      <c r="P154" s="237"/>
      <c r="Q154" s="237"/>
      <c r="R154" s="231"/>
      <c r="S154" s="231"/>
      <c r="T154" s="231"/>
    </row>
    <row r="155" spans="1:20" s="2" customFormat="1" x14ac:dyDescent="0.2">
      <c r="A155" s="387"/>
      <c r="B155" s="387"/>
      <c r="C155" s="22" t="s">
        <v>183</v>
      </c>
      <c r="D155" s="8" t="s">
        <v>20</v>
      </c>
      <c r="E155" s="17">
        <f t="shared" ref="E155:E156" si="1">5.73*19.49</f>
        <v>111.6777</v>
      </c>
      <c r="F155" s="12"/>
      <c r="G155" s="11"/>
      <c r="H155" s="66"/>
      <c r="I155" s="11"/>
      <c r="K155" s="237"/>
      <c r="L155" s="237"/>
      <c r="M155" s="237"/>
      <c r="N155" s="237"/>
      <c r="O155" s="237"/>
      <c r="P155" s="237"/>
      <c r="Q155" s="237"/>
      <c r="R155" s="231"/>
      <c r="S155" s="231"/>
      <c r="T155" s="231"/>
    </row>
    <row r="156" spans="1:20" s="2" customFormat="1" x14ac:dyDescent="0.2">
      <c r="A156" s="387"/>
      <c r="B156" s="387"/>
      <c r="C156" s="22" t="s">
        <v>184</v>
      </c>
      <c r="D156" s="8" t="s">
        <v>20</v>
      </c>
      <c r="E156" s="17">
        <f t="shared" si="1"/>
        <v>111.6777</v>
      </c>
      <c r="F156" s="12"/>
      <c r="G156" s="11"/>
      <c r="H156" s="66"/>
      <c r="I156" s="11"/>
      <c r="K156" s="237"/>
      <c r="L156" s="237"/>
      <c r="M156" s="237"/>
      <c r="N156" s="237"/>
      <c r="O156" s="237"/>
      <c r="P156" s="237"/>
      <c r="Q156" s="237"/>
      <c r="R156" s="231"/>
      <c r="S156" s="231"/>
      <c r="T156" s="231"/>
    </row>
    <row r="157" spans="1:20" s="16" customFormat="1" x14ac:dyDescent="0.2">
      <c r="A157" s="387"/>
      <c r="B157" s="387"/>
      <c r="C157" s="118" t="s">
        <v>13</v>
      </c>
      <c r="D157" s="8" t="s">
        <v>20</v>
      </c>
      <c r="E157" s="119">
        <f>SUM(E149:E156)</f>
        <v>1164.3454999999999</v>
      </c>
      <c r="F157" s="12">
        <v>30.22</v>
      </c>
      <c r="G157" s="11">
        <f>E157*F157</f>
        <v>35186.521009999997</v>
      </c>
      <c r="H157" s="66">
        <v>0.99990000000000001</v>
      </c>
      <c r="I157" s="11">
        <f>G157*H157</f>
        <v>35183.002357899</v>
      </c>
      <c r="K157" s="235"/>
      <c r="L157" s="235"/>
      <c r="M157" s="235"/>
      <c r="N157" s="235"/>
      <c r="O157" s="235"/>
      <c r="P157" s="235"/>
      <c r="Q157" s="235"/>
      <c r="R157" s="230"/>
      <c r="S157" s="230"/>
      <c r="T157" s="230"/>
    </row>
    <row r="158" spans="1:20" s="16" customFormat="1" ht="25.5" x14ac:dyDescent="0.2">
      <c r="A158" s="387" t="s">
        <v>50</v>
      </c>
      <c r="B158" s="387" t="s">
        <v>65</v>
      </c>
      <c r="C158" s="33" t="s">
        <v>160</v>
      </c>
      <c r="D158" s="8"/>
      <c r="E158" s="17"/>
      <c r="F158" s="12"/>
      <c r="G158" s="11"/>
      <c r="H158" s="66"/>
      <c r="I158" s="11"/>
      <c r="K158" s="235"/>
      <c r="L158" s="235"/>
      <c r="M158" s="235"/>
      <c r="N158" s="235"/>
      <c r="O158" s="235"/>
      <c r="P158" s="235"/>
      <c r="Q158" s="235"/>
      <c r="R158" s="230"/>
      <c r="S158" s="230"/>
      <c r="T158" s="230"/>
    </row>
    <row r="159" spans="1:20" s="16" customFormat="1" x14ac:dyDescent="0.2">
      <c r="A159" s="387"/>
      <c r="B159" s="387"/>
      <c r="C159" s="32" t="s">
        <v>161</v>
      </c>
      <c r="D159" s="8" t="s">
        <v>19</v>
      </c>
      <c r="E159" s="17">
        <f>(15.55*39)+(19.5*12)</f>
        <v>840.45</v>
      </c>
      <c r="F159" s="12">
        <v>9.69</v>
      </c>
      <c r="G159" s="11">
        <f>E159*F159</f>
        <v>8143.9605000000001</v>
      </c>
      <c r="H159" s="66">
        <v>0.69850000000000001</v>
      </c>
      <c r="I159" s="11">
        <f>G159*H159</f>
        <v>5688.5564092499999</v>
      </c>
      <c r="K159" s="235"/>
      <c r="L159" s="235"/>
      <c r="M159" s="235"/>
      <c r="N159" s="235"/>
      <c r="O159" s="235"/>
      <c r="P159" s="235"/>
      <c r="Q159" s="235"/>
      <c r="R159" s="230"/>
      <c r="S159" s="230"/>
      <c r="T159" s="230"/>
    </row>
    <row r="160" spans="1:20" s="16" customFormat="1" x14ac:dyDescent="0.2">
      <c r="A160" s="387"/>
      <c r="B160" s="387"/>
      <c r="C160" s="130"/>
      <c r="D160" s="8"/>
      <c r="E160" s="17"/>
      <c r="F160" s="12"/>
      <c r="G160" s="11"/>
      <c r="H160" s="66"/>
      <c r="I160" s="11"/>
      <c r="K160" s="235"/>
      <c r="L160" s="235"/>
      <c r="M160" s="235"/>
      <c r="N160" s="235"/>
      <c r="O160" s="235"/>
      <c r="P160" s="235"/>
      <c r="Q160" s="235"/>
      <c r="R160" s="230"/>
      <c r="S160" s="230"/>
      <c r="T160" s="230"/>
    </row>
    <row r="161" spans="1:20" s="16" customFormat="1" x14ac:dyDescent="0.2">
      <c r="A161" s="387"/>
      <c r="B161" s="387"/>
      <c r="C161" s="118"/>
      <c r="D161" s="8"/>
      <c r="E161" s="17"/>
      <c r="F161" s="12"/>
      <c r="G161" s="11"/>
      <c r="H161" s="66"/>
      <c r="I161" s="11"/>
      <c r="K161" s="235"/>
      <c r="L161" s="235"/>
      <c r="M161" s="235"/>
      <c r="N161" s="235"/>
      <c r="O161" s="235"/>
      <c r="P161" s="235"/>
      <c r="Q161" s="235"/>
      <c r="R161" s="230"/>
      <c r="S161" s="230"/>
      <c r="T161" s="230"/>
    </row>
    <row r="162" spans="1:20" s="31" customFormat="1" x14ac:dyDescent="0.2">
      <c r="A162" s="387"/>
      <c r="B162" s="387"/>
      <c r="C162" s="114" t="s">
        <v>70</v>
      </c>
      <c r="D162" s="8"/>
      <c r="E162" s="115"/>
      <c r="F162" s="26"/>
      <c r="G162" s="27"/>
      <c r="H162" s="116"/>
      <c r="I162" s="27"/>
      <c r="J162" s="30"/>
      <c r="K162" s="232"/>
      <c r="L162" s="232"/>
      <c r="M162" s="232"/>
      <c r="N162" s="232"/>
      <c r="O162" s="235"/>
      <c r="P162" s="235"/>
      <c r="Q162" s="235"/>
      <c r="R162" s="236"/>
      <c r="S162" s="236"/>
      <c r="T162" s="236"/>
    </row>
    <row r="163" spans="1:20" s="400" customFormat="1" ht="38.25" x14ac:dyDescent="0.2">
      <c r="A163" s="387"/>
      <c r="B163" s="387"/>
      <c r="C163" s="20" t="s">
        <v>181</v>
      </c>
      <c r="D163" s="8"/>
      <c r="E163" s="394"/>
      <c r="F163" s="395"/>
      <c r="G163" s="396"/>
      <c r="H163" s="397"/>
      <c r="I163" s="396"/>
      <c r="J163" s="16"/>
      <c r="K163" s="235"/>
      <c r="L163" s="235"/>
      <c r="M163" s="235"/>
      <c r="N163" s="235"/>
      <c r="O163" s="398"/>
      <c r="P163" s="398"/>
      <c r="Q163" s="398"/>
      <c r="R163" s="399"/>
      <c r="S163" s="399"/>
      <c r="T163" s="399"/>
    </row>
    <row r="164" spans="1:20" s="406" customFormat="1" ht="18" customHeight="1" x14ac:dyDescent="0.2">
      <c r="A164" s="387" t="s">
        <v>110</v>
      </c>
      <c r="B164" s="387" t="s">
        <v>179</v>
      </c>
      <c r="C164" s="130" t="s">
        <v>180</v>
      </c>
      <c r="D164" s="8" t="s">
        <v>38</v>
      </c>
      <c r="E164" s="412">
        <f>2500*427*0.01*0.001</f>
        <v>10.675000000000001</v>
      </c>
      <c r="F164" s="401">
        <v>60.72</v>
      </c>
      <c r="G164" s="63">
        <f>E164*F164</f>
        <v>648.18600000000004</v>
      </c>
      <c r="H164" s="402">
        <v>0</v>
      </c>
      <c r="I164" s="63">
        <f>G164*H164</f>
        <v>0</v>
      </c>
      <c r="J164" s="403"/>
      <c r="K164" s="240"/>
      <c r="L164" s="240"/>
      <c r="M164" s="240"/>
      <c r="N164" s="240"/>
      <c r="O164" s="404"/>
      <c r="P164" s="404"/>
      <c r="Q164" s="404"/>
      <c r="R164" s="405"/>
      <c r="S164" s="405"/>
      <c r="T164" s="405"/>
    </row>
    <row r="165" spans="1:20" s="403" customFormat="1" ht="18" customHeight="1" x14ac:dyDescent="0.2">
      <c r="A165" s="387" t="s">
        <v>110</v>
      </c>
      <c r="B165" s="387" t="s">
        <v>245</v>
      </c>
      <c r="C165" s="130" t="s">
        <v>246</v>
      </c>
      <c r="D165" s="8"/>
      <c r="E165" s="412"/>
      <c r="F165" s="401"/>
      <c r="G165" s="63"/>
      <c r="H165" s="402"/>
      <c r="I165" s="63"/>
      <c r="K165" s="240"/>
      <c r="L165" s="240"/>
      <c r="M165" s="240"/>
      <c r="N165" s="240"/>
      <c r="O165" s="240"/>
      <c r="P165" s="240"/>
      <c r="Q165" s="240"/>
      <c r="R165" s="393"/>
      <c r="S165" s="393"/>
      <c r="T165" s="393"/>
    </row>
    <row r="166" spans="1:20" s="16" customFormat="1" x14ac:dyDescent="0.2">
      <c r="A166" s="387"/>
      <c r="B166" s="387"/>
      <c r="C166" s="32" t="s">
        <v>139</v>
      </c>
      <c r="D166" s="8" t="s">
        <v>38</v>
      </c>
      <c r="E166" s="123">
        <f>2700*(E157-127-434)*0.055*0.001</f>
        <v>89.596806749999971</v>
      </c>
      <c r="F166" s="407">
        <v>0.01</v>
      </c>
      <c r="G166" s="11">
        <f>E166*F166</f>
        <v>0.89596806749999969</v>
      </c>
      <c r="H166" s="397">
        <v>0</v>
      </c>
      <c r="I166" s="11">
        <f>G166*H166</f>
        <v>0</v>
      </c>
      <c r="K166" s="235"/>
      <c r="L166" s="235"/>
      <c r="M166" s="235"/>
      <c r="N166" s="235"/>
      <c r="O166" s="235"/>
      <c r="P166" s="235"/>
      <c r="Q166" s="235"/>
      <c r="R166" s="230"/>
      <c r="S166" s="230"/>
      <c r="T166" s="230"/>
    </row>
    <row r="167" spans="1:20" s="16" customFormat="1" x14ac:dyDescent="0.2">
      <c r="A167" s="387"/>
      <c r="B167" s="387"/>
      <c r="C167" s="32" t="s">
        <v>182</v>
      </c>
      <c r="D167" s="8" t="s">
        <v>38</v>
      </c>
      <c r="E167" s="123">
        <f>2700*E159*0.4*0.01*0.001</f>
        <v>9.0768599999999999</v>
      </c>
      <c r="F167" s="407">
        <v>0.01</v>
      </c>
      <c r="G167" s="11">
        <f>E167*F167</f>
        <v>9.0768600000000005E-2</v>
      </c>
      <c r="H167" s="397">
        <v>0</v>
      </c>
      <c r="I167" s="11">
        <f>G167*H167</f>
        <v>0</v>
      </c>
      <c r="K167" s="235"/>
      <c r="L167" s="235"/>
      <c r="M167" s="235"/>
      <c r="N167" s="235"/>
      <c r="O167" s="235"/>
      <c r="P167" s="235"/>
      <c r="Q167" s="235"/>
      <c r="R167" s="230"/>
      <c r="S167" s="230"/>
      <c r="T167" s="230"/>
    </row>
    <row r="168" spans="1:20" s="400" customFormat="1" ht="51" x14ac:dyDescent="0.2">
      <c r="A168" s="387" t="s">
        <v>50</v>
      </c>
      <c r="B168" s="387" t="s">
        <v>54</v>
      </c>
      <c r="C168" s="20" t="s">
        <v>56</v>
      </c>
      <c r="D168" s="8"/>
      <c r="E168" s="394"/>
      <c r="F168" s="395"/>
      <c r="G168" s="396"/>
      <c r="H168" s="397"/>
      <c r="I168" s="396"/>
      <c r="J168" s="16"/>
      <c r="K168" s="235"/>
      <c r="L168" s="235"/>
      <c r="M168" s="235"/>
      <c r="N168" s="235"/>
      <c r="O168" s="398"/>
      <c r="P168" s="398"/>
      <c r="Q168" s="398"/>
      <c r="R168" s="399"/>
      <c r="S168" s="399"/>
      <c r="T168" s="399"/>
    </row>
    <row r="169" spans="1:20" s="125" customFormat="1" ht="51" x14ac:dyDescent="0.2">
      <c r="A169" s="387"/>
      <c r="B169" s="387"/>
      <c r="C169" s="14" t="s">
        <v>39</v>
      </c>
      <c r="D169" s="8"/>
      <c r="E169" s="17"/>
      <c r="F169" s="12"/>
      <c r="G169" s="11"/>
      <c r="H169" s="66"/>
      <c r="I169" s="11"/>
      <c r="J169" s="126"/>
      <c r="K169" s="232"/>
      <c r="L169" s="232"/>
      <c r="M169" s="232"/>
      <c r="N169" s="232"/>
      <c r="O169" s="235"/>
      <c r="P169" s="235"/>
      <c r="Q169" s="235"/>
      <c r="R169" s="230"/>
      <c r="S169" s="230"/>
      <c r="T169" s="230"/>
    </row>
    <row r="170" spans="1:20" s="125" customFormat="1" x14ac:dyDescent="0.2">
      <c r="A170" s="387"/>
      <c r="B170" s="387"/>
      <c r="C170" s="22" t="s">
        <v>47</v>
      </c>
      <c r="D170" s="8"/>
      <c r="E170" s="17"/>
      <c r="F170" s="12"/>
      <c r="G170" s="11"/>
      <c r="H170" s="66"/>
      <c r="I170" s="11"/>
      <c r="J170" s="126"/>
      <c r="K170" s="232"/>
      <c r="L170" s="232"/>
      <c r="M170" s="232"/>
      <c r="N170" s="232"/>
      <c r="O170" s="235"/>
      <c r="P170" s="235"/>
      <c r="Q170" s="235"/>
      <c r="R170" s="230"/>
      <c r="S170" s="230"/>
      <c r="T170" s="230"/>
    </row>
    <row r="171" spans="1:20" s="392" customFormat="1" ht="18" customHeight="1" x14ac:dyDescent="0.2">
      <c r="A171" s="387" t="s">
        <v>50</v>
      </c>
      <c r="B171" s="387" t="s">
        <v>40</v>
      </c>
      <c r="C171" s="33" t="s">
        <v>41</v>
      </c>
      <c r="D171" s="8" t="s">
        <v>42</v>
      </c>
      <c r="E171" s="61">
        <f>(((E157-427-434)*0.055)+(E159*0.4*0.01)+(427*0.01)+(434*0.055))*5</f>
        <v>240.92901249999997</v>
      </c>
      <c r="F171" s="62">
        <v>4.45</v>
      </c>
      <c r="G171" s="63">
        <f>E171*F171</f>
        <v>1072.1341056249998</v>
      </c>
      <c r="H171" s="64">
        <v>0.69850000000000001</v>
      </c>
      <c r="I171" s="63">
        <f>G171*H171</f>
        <v>748.88567277906236</v>
      </c>
      <c r="K171" s="240"/>
      <c r="L171" s="240"/>
      <c r="M171" s="240"/>
      <c r="N171" s="240"/>
      <c r="O171" s="240"/>
      <c r="P171" s="240"/>
      <c r="Q171" s="240"/>
      <c r="R171" s="393"/>
      <c r="S171" s="393"/>
      <c r="T171" s="393"/>
    </row>
    <row r="172" spans="1:20" s="392" customFormat="1" ht="18" customHeight="1" x14ac:dyDescent="0.2">
      <c r="A172" s="387" t="s">
        <v>50</v>
      </c>
      <c r="B172" s="387" t="s">
        <v>43</v>
      </c>
      <c r="C172" s="33" t="s">
        <v>44</v>
      </c>
      <c r="D172" s="8" t="s">
        <v>42</v>
      </c>
      <c r="E172" s="61">
        <f>(((E157-427-434)*0.055)+(E159*0.4*0.01)+(427*0.01)+(434*0.055))*5</f>
        <v>240.92901249999997</v>
      </c>
      <c r="F172" s="62">
        <v>3</v>
      </c>
      <c r="G172" s="63">
        <f>E172*F172</f>
        <v>722.78703749999988</v>
      </c>
      <c r="H172" s="64">
        <v>0.69850000000000001</v>
      </c>
      <c r="I172" s="63">
        <f>G172*H172</f>
        <v>504.86674569374992</v>
      </c>
      <c r="K172" s="240"/>
      <c r="L172" s="240"/>
      <c r="M172" s="240"/>
      <c r="N172" s="240"/>
      <c r="O172" s="240"/>
      <c r="P172" s="240"/>
      <c r="Q172" s="240"/>
      <c r="R172" s="393"/>
      <c r="S172" s="393"/>
      <c r="T172" s="393"/>
    </row>
    <row r="173" spans="1:20" s="392" customFormat="1" ht="18" customHeight="1" x14ac:dyDescent="0.2">
      <c r="A173" s="387" t="s">
        <v>50</v>
      </c>
      <c r="B173" s="387" t="s">
        <v>45</v>
      </c>
      <c r="C173" s="33" t="s">
        <v>46</v>
      </c>
      <c r="D173" s="8" t="s">
        <v>42</v>
      </c>
      <c r="E173" s="61">
        <f>(((E157-427-434)*0.055)+(E159*0.4*0.01)+(427*0.01)+(434*0.055))*5</f>
        <v>240.92901249999997</v>
      </c>
      <c r="F173" s="413">
        <v>1.77</v>
      </c>
      <c r="G173" s="414">
        <f>E173*F173</f>
        <v>426.44435212499997</v>
      </c>
      <c r="H173" s="64">
        <v>0.69850000000000001</v>
      </c>
      <c r="I173" s="63">
        <f>G173*H173</f>
        <v>297.87137995931249</v>
      </c>
      <c r="J173" s="408"/>
      <c r="K173" s="240"/>
      <c r="L173" s="240"/>
      <c r="M173" s="240"/>
      <c r="N173" s="240"/>
      <c r="O173" s="240"/>
      <c r="P173" s="240"/>
      <c r="Q173" s="240"/>
      <c r="R173" s="393"/>
      <c r="S173" s="393"/>
      <c r="T173" s="393"/>
    </row>
    <row r="174" spans="1:20" s="16" customFormat="1" x14ac:dyDescent="0.2">
      <c r="A174" s="387"/>
      <c r="B174" s="387"/>
      <c r="C174" s="32"/>
      <c r="D174" s="8"/>
      <c r="E174" s="17"/>
      <c r="F174" s="7"/>
      <c r="G174" s="11"/>
      <c r="H174" s="121"/>
      <c r="I174" s="11"/>
      <c r="K174" s="235"/>
      <c r="L174" s="235"/>
      <c r="M174" s="235"/>
      <c r="N174" s="235"/>
      <c r="O174" s="235"/>
      <c r="P174" s="235"/>
      <c r="Q174" s="235"/>
      <c r="R174" s="230"/>
      <c r="S174" s="230"/>
      <c r="T174" s="230"/>
    </row>
    <row r="175" spans="1:20" s="31" customFormat="1" x14ac:dyDescent="0.2">
      <c r="A175" s="387"/>
      <c r="B175" s="387"/>
      <c r="C175" s="122" t="s">
        <v>260</v>
      </c>
      <c r="D175" s="8"/>
      <c r="E175" s="23"/>
      <c r="F175" s="26"/>
      <c r="G175" s="29">
        <f>SUM(G147:G174)</f>
        <v>46201.019741917502</v>
      </c>
      <c r="H175" s="116">
        <f>I175/G175</f>
        <v>0.91823043739208188</v>
      </c>
      <c r="I175" s="29">
        <f>SUM(I148:I174)</f>
        <v>42423.182565581119</v>
      </c>
      <c r="K175" s="235"/>
      <c r="L175" s="235"/>
      <c r="M175" s="235"/>
      <c r="N175" s="235"/>
      <c r="O175" s="235"/>
      <c r="P175" s="235"/>
      <c r="Q175" s="235"/>
      <c r="R175" s="236"/>
      <c r="S175" s="236"/>
      <c r="T175" s="236"/>
    </row>
    <row r="176" spans="1:20" s="16" customFormat="1" x14ac:dyDescent="0.2">
      <c r="A176" s="387"/>
      <c r="B176" s="387"/>
      <c r="C176" s="32"/>
      <c r="D176" s="8"/>
      <c r="E176" s="17"/>
      <c r="F176" s="7"/>
      <c r="G176" s="11"/>
      <c r="H176" s="121"/>
      <c r="I176" s="11"/>
      <c r="K176" s="235"/>
      <c r="L176" s="235"/>
      <c r="M176" s="235"/>
      <c r="N176" s="235"/>
      <c r="O176" s="235"/>
      <c r="P176" s="235"/>
      <c r="Q176" s="235"/>
      <c r="R176" s="230"/>
      <c r="S176" s="230"/>
      <c r="T176" s="230"/>
    </row>
    <row r="177" spans="1:20" s="125" customFormat="1" x14ac:dyDescent="0.2">
      <c r="A177" s="387"/>
      <c r="B177" s="387"/>
      <c r="C177" s="128" t="s">
        <v>120</v>
      </c>
      <c r="D177" s="8"/>
      <c r="E177" s="17"/>
      <c r="F177" s="187"/>
      <c r="G177" s="186"/>
      <c r="H177" s="188"/>
      <c r="I177" s="186"/>
      <c r="J177" s="127"/>
      <c r="K177" s="232"/>
      <c r="L177" s="232"/>
      <c r="M177" s="232"/>
      <c r="N177" s="232"/>
      <c r="O177" s="235"/>
      <c r="P177" s="235"/>
      <c r="Q177" s="235"/>
      <c r="R177" s="230"/>
      <c r="S177" s="230"/>
      <c r="T177" s="230"/>
    </row>
    <row r="178" spans="1:20" s="392" customFormat="1" ht="18" customHeight="1" x14ac:dyDescent="0.2">
      <c r="A178" s="387" t="s">
        <v>50</v>
      </c>
      <c r="B178" s="387" t="s">
        <v>247</v>
      </c>
      <c r="C178" s="33" t="s">
        <v>248</v>
      </c>
      <c r="D178" s="8"/>
      <c r="E178" s="416"/>
      <c r="F178" s="415"/>
      <c r="G178" s="416"/>
      <c r="H178" s="415"/>
      <c r="I178" s="416"/>
      <c r="K178" s="240"/>
      <c r="L178" s="240"/>
      <c r="M178" s="240"/>
      <c r="N178" s="240"/>
      <c r="O178" s="240"/>
      <c r="P178" s="240"/>
      <c r="Q178" s="240"/>
      <c r="R178" s="393"/>
      <c r="S178" s="393"/>
      <c r="T178" s="393"/>
    </row>
    <row r="179" spans="1:20" s="125" customFormat="1" ht="25.5" x14ac:dyDescent="0.2">
      <c r="A179" s="387"/>
      <c r="B179" s="387"/>
      <c r="C179" s="22" t="s">
        <v>249</v>
      </c>
      <c r="D179" s="8" t="s">
        <v>55</v>
      </c>
      <c r="E179" s="189">
        <f>5*40</f>
        <v>200</v>
      </c>
      <c r="F179" s="187">
        <v>34.549999999999997</v>
      </c>
      <c r="G179" s="186">
        <f>E179*F179</f>
        <v>6909.9999999999991</v>
      </c>
      <c r="H179" s="188">
        <v>1</v>
      </c>
      <c r="I179" s="11">
        <f>G179*H179</f>
        <v>6909.9999999999991</v>
      </c>
      <c r="J179" s="127"/>
      <c r="K179" s="235"/>
      <c r="L179" s="235"/>
      <c r="M179" s="232"/>
      <c r="N179" s="232"/>
      <c r="O179" s="235"/>
      <c r="P179" s="235"/>
      <c r="Q179" s="235"/>
      <c r="R179" s="230"/>
      <c r="S179" s="230"/>
      <c r="T179" s="230"/>
    </row>
    <row r="180" spans="1:20" s="16" customFormat="1" x14ac:dyDescent="0.2">
      <c r="A180" s="387"/>
      <c r="B180" s="387"/>
      <c r="C180" s="32"/>
      <c r="D180" s="8"/>
      <c r="E180" s="17"/>
      <c r="F180" s="7"/>
      <c r="G180" s="11"/>
      <c r="H180" s="121"/>
      <c r="I180" s="11"/>
      <c r="K180" s="235"/>
      <c r="L180" s="235"/>
      <c r="M180" s="235"/>
      <c r="N180" s="235"/>
      <c r="O180" s="235"/>
      <c r="P180" s="235"/>
      <c r="Q180" s="235"/>
      <c r="R180" s="230"/>
      <c r="S180" s="230"/>
      <c r="T180" s="230"/>
    </row>
    <row r="181" spans="1:20" s="31" customFormat="1" x14ac:dyDescent="0.2">
      <c r="A181" s="387"/>
      <c r="B181" s="387"/>
      <c r="C181" s="122" t="s">
        <v>260</v>
      </c>
      <c r="D181" s="8"/>
      <c r="E181" s="23"/>
      <c r="F181" s="26"/>
      <c r="G181" s="29">
        <f>SUM(G177:G180)</f>
        <v>6909.9999999999991</v>
      </c>
      <c r="H181" s="116">
        <f>I181/G181</f>
        <v>1</v>
      </c>
      <c r="I181" s="29">
        <f>SUM(I177:I180)</f>
        <v>6909.9999999999991</v>
      </c>
      <c r="K181" s="235"/>
      <c r="L181" s="235"/>
      <c r="M181" s="235"/>
      <c r="N181" s="235"/>
      <c r="O181" s="235"/>
      <c r="P181" s="235"/>
      <c r="Q181" s="235"/>
      <c r="R181" s="236"/>
      <c r="S181" s="236"/>
      <c r="T181" s="236"/>
    </row>
    <row r="182" spans="1:20" s="65" customFormat="1" x14ac:dyDescent="0.2">
      <c r="A182" s="387"/>
      <c r="B182" s="387"/>
      <c r="C182" s="14"/>
      <c r="D182" s="8"/>
      <c r="E182" s="17"/>
      <c r="F182" s="12"/>
      <c r="G182" s="11"/>
      <c r="H182" s="66"/>
      <c r="I182" s="11"/>
      <c r="K182" s="240"/>
      <c r="L182" s="240"/>
      <c r="M182" s="240"/>
      <c r="N182" s="240"/>
      <c r="O182" s="240"/>
      <c r="P182" s="240"/>
      <c r="Q182" s="240"/>
      <c r="R182" s="241"/>
      <c r="S182" s="241"/>
      <c r="T182" s="241"/>
    </row>
    <row r="183" spans="1:20" s="2" customFormat="1" x14ac:dyDescent="0.2">
      <c r="A183" s="387"/>
      <c r="B183" s="387"/>
      <c r="C183" s="114" t="s">
        <v>257</v>
      </c>
      <c r="D183" s="8"/>
      <c r="E183" s="115"/>
      <c r="F183" s="26"/>
      <c r="G183" s="27"/>
      <c r="H183" s="116"/>
      <c r="I183" s="27"/>
      <c r="J183" s="16"/>
      <c r="K183" s="235"/>
      <c r="L183" s="235"/>
      <c r="M183" s="235"/>
      <c r="N183" s="235"/>
      <c r="O183" s="237"/>
      <c r="P183" s="237"/>
      <c r="Q183" s="237"/>
      <c r="R183" s="231"/>
      <c r="S183" s="231"/>
      <c r="T183" s="231"/>
    </row>
    <row r="184" spans="1:20" s="2" customFormat="1" x14ac:dyDescent="0.2">
      <c r="A184" s="387"/>
      <c r="B184" s="387"/>
      <c r="C184" s="33"/>
      <c r="D184" s="8"/>
      <c r="E184" s="61"/>
      <c r="F184" s="62"/>
      <c r="G184" s="63"/>
      <c r="H184" s="64"/>
      <c r="I184" s="63"/>
      <c r="J184" s="16"/>
      <c r="K184" s="235"/>
      <c r="L184" s="235"/>
      <c r="M184" s="235"/>
      <c r="N184" s="235"/>
      <c r="O184" s="237"/>
      <c r="P184" s="237"/>
      <c r="Q184" s="237"/>
      <c r="R184" s="231"/>
      <c r="S184" s="231"/>
      <c r="T184" s="231"/>
    </row>
    <row r="185" spans="1:20" s="2" customFormat="1" ht="280.5" x14ac:dyDescent="0.2">
      <c r="A185" s="387"/>
      <c r="B185" s="387"/>
      <c r="C185" s="14" t="s">
        <v>143</v>
      </c>
      <c r="D185" s="8"/>
      <c r="E185" s="17"/>
      <c r="F185" s="12"/>
      <c r="G185" s="11"/>
      <c r="H185" s="66"/>
      <c r="I185" s="11"/>
      <c r="K185" s="237"/>
      <c r="L185" s="237"/>
      <c r="M185" s="237"/>
      <c r="N185" s="237"/>
      <c r="O185" s="237"/>
      <c r="P185" s="237"/>
      <c r="Q185" s="237"/>
      <c r="R185" s="231"/>
      <c r="S185" s="231"/>
      <c r="T185" s="231"/>
    </row>
    <row r="186" spans="1:20" s="2" customFormat="1" ht="25.5" x14ac:dyDescent="0.2">
      <c r="A186" s="387" t="s">
        <v>95</v>
      </c>
      <c r="B186" s="387" t="s">
        <v>145</v>
      </c>
      <c r="C186" s="14" t="s">
        <v>144</v>
      </c>
      <c r="D186" s="8"/>
      <c r="E186" s="17"/>
      <c r="F186" s="12"/>
      <c r="G186" s="11"/>
      <c r="H186" s="66"/>
      <c r="I186" s="11"/>
      <c r="K186" s="237"/>
      <c r="L186" s="237"/>
      <c r="M186" s="237"/>
      <c r="N186" s="237"/>
      <c r="O186" s="237"/>
      <c r="P186" s="237"/>
      <c r="Q186" s="237"/>
      <c r="R186" s="231"/>
      <c r="S186" s="231"/>
      <c r="T186" s="231"/>
    </row>
    <row r="187" spans="1:20" s="2" customFormat="1" x14ac:dyDescent="0.2">
      <c r="A187" s="387"/>
      <c r="B187" s="387"/>
      <c r="C187" s="22" t="s">
        <v>87</v>
      </c>
      <c r="D187" s="8" t="s">
        <v>20</v>
      </c>
      <c r="E187" s="17">
        <f t="shared" ref="E187:E194" si="2">E149</f>
        <v>344.3664</v>
      </c>
      <c r="F187" s="12"/>
      <c r="G187" s="11"/>
      <c r="H187" s="66"/>
      <c r="I187" s="11"/>
      <c r="K187" s="237"/>
      <c r="L187" s="237"/>
      <c r="M187" s="237"/>
      <c r="N187" s="237"/>
      <c r="O187" s="237"/>
      <c r="P187" s="237"/>
      <c r="Q187" s="237"/>
      <c r="R187" s="231"/>
      <c r="S187" s="231"/>
      <c r="T187" s="231"/>
    </row>
    <row r="188" spans="1:20" s="2" customFormat="1" x14ac:dyDescent="0.2">
      <c r="A188" s="387"/>
      <c r="B188" s="387"/>
      <c r="C188" s="22" t="s">
        <v>88</v>
      </c>
      <c r="D188" s="8" t="s">
        <v>20</v>
      </c>
      <c r="E188" s="17">
        <f t="shared" si="2"/>
        <v>106.414</v>
      </c>
      <c r="F188" s="12"/>
      <c r="G188" s="11"/>
      <c r="H188" s="66"/>
      <c r="I188" s="11"/>
      <c r="K188" s="237"/>
      <c r="L188" s="237"/>
      <c r="M188" s="237"/>
      <c r="N188" s="237"/>
      <c r="O188" s="237"/>
      <c r="P188" s="237"/>
      <c r="Q188" s="237"/>
      <c r="R188" s="231"/>
      <c r="S188" s="231"/>
      <c r="T188" s="231"/>
    </row>
    <row r="189" spans="1:20" s="2" customFormat="1" x14ac:dyDescent="0.2">
      <c r="A189" s="387"/>
      <c r="B189" s="387"/>
      <c r="C189" s="22" t="s">
        <v>89</v>
      </c>
      <c r="D189" s="8" t="s">
        <v>20</v>
      </c>
      <c r="E189" s="17">
        <f t="shared" si="2"/>
        <v>207.9</v>
      </c>
      <c r="F189" s="12"/>
      <c r="G189" s="11"/>
      <c r="H189" s="66"/>
      <c r="I189" s="11"/>
      <c r="K189" s="237"/>
      <c r="L189" s="237"/>
      <c r="M189" s="237"/>
      <c r="N189" s="237"/>
      <c r="O189" s="237"/>
      <c r="P189" s="237"/>
      <c r="Q189" s="237"/>
      <c r="R189" s="231"/>
      <c r="S189" s="231"/>
      <c r="T189" s="231"/>
    </row>
    <row r="190" spans="1:20" s="2" customFormat="1" x14ac:dyDescent="0.2">
      <c r="A190" s="387"/>
      <c r="B190" s="387"/>
      <c r="C190" s="22" t="s">
        <v>90</v>
      </c>
      <c r="D190" s="8" t="s">
        <v>20</v>
      </c>
      <c r="E190" s="17">
        <f t="shared" si="2"/>
        <v>85.316000000000003</v>
      </c>
      <c r="F190" s="12"/>
      <c r="G190" s="11"/>
      <c r="H190" s="66"/>
      <c r="I190" s="11"/>
      <c r="K190" s="237"/>
      <c r="L190" s="237"/>
      <c r="M190" s="237"/>
      <c r="N190" s="237"/>
      <c r="O190" s="237"/>
      <c r="P190" s="237"/>
      <c r="Q190" s="237"/>
      <c r="R190" s="231"/>
      <c r="S190" s="231"/>
      <c r="T190" s="231"/>
    </row>
    <row r="191" spans="1:20" s="2" customFormat="1" x14ac:dyDescent="0.2">
      <c r="A191" s="387"/>
      <c r="B191" s="387"/>
      <c r="C191" s="22" t="s">
        <v>91</v>
      </c>
      <c r="D191" s="8" t="s">
        <v>20</v>
      </c>
      <c r="E191" s="17">
        <f t="shared" si="2"/>
        <v>85.316000000000003</v>
      </c>
      <c r="F191" s="12"/>
      <c r="G191" s="11"/>
      <c r="H191" s="66"/>
      <c r="I191" s="11"/>
      <c r="K191" s="237"/>
      <c r="L191" s="237"/>
      <c r="M191" s="237"/>
      <c r="N191" s="237"/>
      <c r="O191" s="237"/>
      <c r="P191" s="237"/>
      <c r="Q191" s="237"/>
      <c r="R191" s="231"/>
      <c r="S191" s="231"/>
      <c r="T191" s="231"/>
    </row>
    <row r="192" spans="1:20" s="2" customFormat="1" x14ac:dyDescent="0.2">
      <c r="A192" s="387"/>
      <c r="B192" s="387"/>
      <c r="C192" s="22" t="s">
        <v>92</v>
      </c>
      <c r="D192" s="8" t="s">
        <v>20</v>
      </c>
      <c r="E192" s="17">
        <f t="shared" si="2"/>
        <v>111.6777</v>
      </c>
      <c r="F192" s="12"/>
      <c r="G192" s="11"/>
      <c r="H192" s="66"/>
      <c r="I192" s="11"/>
      <c r="K192" s="237"/>
      <c r="L192" s="237"/>
      <c r="M192" s="237"/>
      <c r="N192" s="237"/>
      <c r="O192" s="237"/>
      <c r="P192" s="237"/>
      <c r="Q192" s="237"/>
      <c r="R192" s="231"/>
      <c r="S192" s="231"/>
      <c r="T192" s="231"/>
    </row>
    <row r="193" spans="1:20" s="16" customFormat="1" x14ac:dyDescent="0.2">
      <c r="A193" s="387"/>
      <c r="B193" s="387"/>
      <c r="C193" s="22" t="s">
        <v>183</v>
      </c>
      <c r="D193" s="8" t="s">
        <v>20</v>
      </c>
      <c r="E193" s="17">
        <f t="shared" si="2"/>
        <v>111.6777</v>
      </c>
      <c r="F193" s="12"/>
      <c r="G193" s="11"/>
      <c r="H193" s="66"/>
      <c r="I193" s="11"/>
      <c r="K193" s="235"/>
      <c r="L193" s="235"/>
      <c r="M193" s="235"/>
      <c r="N193" s="235"/>
      <c r="O193" s="235"/>
      <c r="P193" s="235"/>
      <c r="Q193" s="235"/>
      <c r="R193" s="242"/>
      <c r="S193" s="230"/>
      <c r="T193" s="230"/>
    </row>
    <row r="194" spans="1:20" s="16" customFormat="1" x14ac:dyDescent="0.2">
      <c r="A194" s="387"/>
      <c r="B194" s="387"/>
      <c r="C194" s="22" t="s">
        <v>184</v>
      </c>
      <c r="D194" s="8" t="s">
        <v>20</v>
      </c>
      <c r="E194" s="17">
        <f t="shared" si="2"/>
        <v>111.6777</v>
      </c>
      <c r="F194" s="12"/>
      <c r="G194" s="11"/>
      <c r="H194" s="66"/>
      <c r="I194" s="11"/>
      <c r="K194" s="235"/>
      <c r="L194" s="235"/>
      <c r="M194" s="235"/>
      <c r="N194" s="235"/>
      <c r="O194" s="235"/>
      <c r="P194" s="235"/>
      <c r="Q194" s="235"/>
      <c r="R194" s="230"/>
      <c r="S194" s="230"/>
      <c r="T194" s="230"/>
    </row>
    <row r="195" spans="1:20" s="16" customFormat="1" x14ac:dyDescent="0.2">
      <c r="A195" s="387"/>
      <c r="B195" s="387"/>
      <c r="C195" s="118" t="s">
        <v>13</v>
      </c>
      <c r="D195" s="8" t="s">
        <v>20</v>
      </c>
      <c r="E195" s="119">
        <f>SUM(E187:E194)</f>
        <v>1164.3454999999999</v>
      </c>
      <c r="F195" s="12">
        <v>246.63</v>
      </c>
      <c r="G195" s="11">
        <f>E195*F195</f>
        <v>287162.53066499997</v>
      </c>
      <c r="H195" s="66">
        <v>0.16039999999999999</v>
      </c>
      <c r="I195" s="11">
        <f>G195*H195</f>
        <v>46060.869918665994</v>
      </c>
      <c r="K195" s="235"/>
      <c r="L195" s="235"/>
      <c r="M195" s="235"/>
      <c r="N195" s="235"/>
      <c r="O195" s="235"/>
      <c r="P195" s="235"/>
      <c r="Q195" s="235"/>
      <c r="R195" s="230"/>
      <c r="S195" s="230"/>
      <c r="T195" s="230"/>
    </row>
    <row r="196" spans="1:20" s="2" customFormat="1" ht="25.5" x14ac:dyDescent="0.2">
      <c r="A196" s="387"/>
      <c r="B196" s="387"/>
      <c r="C196" s="130" t="s">
        <v>163</v>
      </c>
      <c r="D196" s="8"/>
      <c r="E196" s="17"/>
      <c r="F196" s="12"/>
      <c r="G196" s="11"/>
      <c r="H196" s="66"/>
      <c r="I196" s="11"/>
      <c r="K196" s="237"/>
      <c r="L196" s="237"/>
      <c r="M196" s="237"/>
      <c r="N196" s="237"/>
      <c r="O196" s="237"/>
      <c r="P196" s="237"/>
      <c r="Q196" s="237"/>
      <c r="R196" s="231"/>
      <c r="S196" s="231"/>
      <c r="T196" s="231"/>
    </row>
    <row r="197" spans="1:20" s="417" customFormat="1" ht="18" customHeight="1" x14ac:dyDescent="0.2">
      <c r="A197" s="387" t="s">
        <v>95</v>
      </c>
      <c r="B197" s="387" t="s">
        <v>147</v>
      </c>
      <c r="C197" s="130" t="s">
        <v>146</v>
      </c>
      <c r="D197" s="8"/>
      <c r="E197" s="61"/>
      <c r="F197" s="62"/>
      <c r="G197" s="63"/>
      <c r="H197" s="64"/>
      <c r="I197" s="63"/>
      <c r="K197" s="418"/>
      <c r="L197" s="418"/>
      <c r="M197" s="418"/>
      <c r="N197" s="418"/>
      <c r="O197" s="418"/>
      <c r="P197" s="418"/>
      <c r="Q197" s="418"/>
      <c r="R197" s="419"/>
      <c r="S197" s="419"/>
      <c r="T197" s="419"/>
    </row>
    <row r="198" spans="1:20" s="2" customFormat="1" x14ac:dyDescent="0.2">
      <c r="A198" s="387"/>
      <c r="B198" s="387"/>
      <c r="C198" s="22" t="s">
        <v>87</v>
      </c>
      <c r="D198" s="8" t="s">
        <v>20</v>
      </c>
      <c r="E198" s="17">
        <v>106.89</v>
      </c>
      <c r="F198" s="12"/>
      <c r="G198" s="11"/>
      <c r="H198" s="66"/>
      <c r="I198" s="11"/>
      <c r="K198" s="237"/>
      <c r="L198" s="237"/>
      <c r="M198" s="237"/>
      <c r="N198" s="237"/>
      <c r="O198" s="237"/>
      <c r="P198" s="237"/>
      <c r="Q198" s="237"/>
      <c r="R198" s="231"/>
      <c r="S198" s="231"/>
      <c r="T198" s="231"/>
    </row>
    <row r="199" spans="1:20" s="2" customFormat="1" x14ac:dyDescent="0.2">
      <c r="A199" s="387"/>
      <c r="B199" s="387"/>
      <c r="C199" s="22" t="s">
        <v>88</v>
      </c>
      <c r="D199" s="8" t="s">
        <v>20</v>
      </c>
      <c r="E199" s="17">
        <v>44.55</v>
      </c>
      <c r="F199" s="12"/>
      <c r="G199" s="11"/>
      <c r="H199" s="66"/>
      <c r="I199" s="11"/>
      <c r="K199" s="237"/>
      <c r="L199" s="237"/>
      <c r="M199" s="237"/>
      <c r="N199" s="237"/>
      <c r="O199" s="237"/>
      <c r="P199" s="237"/>
      <c r="Q199" s="237"/>
      <c r="R199" s="231"/>
      <c r="S199" s="231"/>
      <c r="T199" s="231"/>
    </row>
    <row r="200" spans="1:20" s="2" customFormat="1" x14ac:dyDescent="0.2">
      <c r="A200" s="387"/>
      <c r="B200" s="387"/>
      <c r="C200" s="22" t="s">
        <v>89</v>
      </c>
      <c r="D200" s="8" t="s">
        <v>20</v>
      </c>
      <c r="E200" s="17">
        <v>71</v>
      </c>
      <c r="F200" s="12"/>
      <c r="G200" s="11"/>
      <c r="H200" s="66"/>
      <c r="I200" s="11"/>
      <c r="K200" s="237"/>
      <c r="L200" s="237"/>
      <c r="M200" s="237"/>
      <c r="N200" s="237"/>
      <c r="O200" s="237"/>
      <c r="P200" s="237"/>
      <c r="Q200" s="237"/>
      <c r="R200" s="231"/>
      <c r="S200" s="231"/>
      <c r="T200" s="231"/>
    </row>
    <row r="201" spans="1:20" s="2" customFormat="1" x14ac:dyDescent="0.2">
      <c r="A201" s="387"/>
      <c r="B201" s="387"/>
      <c r="C201" s="22" t="s">
        <v>90</v>
      </c>
      <c r="D201" s="8" t="s">
        <v>20</v>
      </c>
      <c r="E201" s="17">
        <v>35.31</v>
      </c>
      <c r="F201" s="12"/>
      <c r="G201" s="11"/>
      <c r="H201" s="66"/>
      <c r="I201" s="11"/>
      <c r="K201" s="237"/>
      <c r="L201" s="237"/>
      <c r="M201" s="237"/>
      <c r="N201" s="237"/>
      <c r="O201" s="237"/>
      <c r="P201" s="237"/>
      <c r="Q201" s="237"/>
      <c r="R201" s="231"/>
      <c r="S201" s="231"/>
      <c r="T201" s="231"/>
    </row>
    <row r="202" spans="1:20" s="2" customFormat="1" x14ac:dyDescent="0.2">
      <c r="A202" s="387"/>
      <c r="B202" s="387"/>
      <c r="C202" s="22" t="s">
        <v>91</v>
      </c>
      <c r="D202" s="8" t="s">
        <v>20</v>
      </c>
      <c r="E202" s="17">
        <v>35.31</v>
      </c>
      <c r="F202" s="12"/>
      <c r="G202" s="11"/>
      <c r="H202" s="66"/>
      <c r="I202" s="11"/>
      <c r="K202" s="237"/>
      <c r="L202" s="237"/>
      <c r="M202" s="237"/>
      <c r="N202" s="237"/>
      <c r="O202" s="237"/>
      <c r="P202" s="237"/>
      <c r="Q202" s="237"/>
      <c r="R202" s="231"/>
      <c r="S202" s="231"/>
      <c r="T202" s="231"/>
    </row>
    <row r="203" spans="1:20" s="2" customFormat="1" x14ac:dyDescent="0.2">
      <c r="A203" s="387"/>
      <c r="B203" s="387"/>
      <c r="C203" s="22" t="s">
        <v>92</v>
      </c>
      <c r="D203" s="8" t="s">
        <v>20</v>
      </c>
      <c r="E203" s="17">
        <v>47.02</v>
      </c>
      <c r="F203" s="12"/>
      <c r="G203" s="11"/>
      <c r="H203" s="66"/>
      <c r="I203" s="11"/>
      <c r="K203" s="237"/>
      <c r="L203" s="237"/>
      <c r="M203" s="237"/>
      <c r="N203" s="237"/>
      <c r="O203" s="237"/>
      <c r="P203" s="237"/>
      <c r="Q203" s="237"/>
      <c r="R203" s="231"/>
      <c r="S203" s="231"/>
      <c r="T203" s="231"/>
    </row>
    <row r="204" spans="1:20" s="16" customFormat="1" x14ac:dyDescent="0.2">
      <c r="A204" s="387"/>
      <c r="B204" s="387"/>
      <c r="C204" s="22" t="s">
        <v>183</v>
      </c>
      <c r="D204" s="8" t="s">
        <v>20</v>
      </c>
      <c r="E204" s="17">
        <v>47.02</v>
      </c>
      <c r="F204" s="12"/>
      <c r="G204" s="11"/>
      <c r="H204" s="66"/>
      <c r="I204" s="11"/>
      <c r="K204" s="235"/>
      <c r="L204" s="235"/>
      <c r="M204" s="235"/>
      <c r="N204" s="235"/>
      <c r="O204" s="235"/>
      <c r="P204" s="235"/>
      <c r="Q204" s="235"/>
      <c r="R204" s="242"/>
      <c r="S204" s="230"/>
      <c r="T204" s="230"/>
    </row>
    <row r="205" spans="1:20" s="65" customFormat="1" x14ac:dyDescent="0.2">
      <c r="A205" s="387"/>
      <c r="B205" s="387"/>
      <c r="C205" s="22" t="s">
        <v>184</v>
      </c>
      <c r="D205" s="8" t="s">
        <v>20</v>
      </c>
      <c r="E205" s="17">
        <v>47.02</v>
      </c>
      <c r="F205" s="12"/>
      <c r="G205" s="11"/>
      <c r="H205" s="66"/>
      <c r="I205" s="11"/>
      <c r="K205" s="240"/>
      <c r="L205" s="240"/>
      <c r="M205" s="240"/>
      <c r="N205" s="240"/>
      <c r="O205" s="240"/>
      <c r="P205" s="240"/>
      <c r="Q205" s="240"/>
      <c r="R205" s="241"/>
      <c r="S205" s="241"/>
      <c r="T205" s="241"/>
    </row>
    <row r="206" spans="1:20" s="65" customFormat="1" x14ac:dyDescent="0.2">
      <c r="A206" s="387"/>
      <c r="B206" s="387"/>
      <c r="C206" s="118" t="s">
        <v>13</v>
      </c>
      <c r="D206" s="8" t="s">
        <v>20</v>
      </c>
      <c r="E206" s="119">
        <f>SUM(E198:E205)</f>
        <v>434.11999999999995</v>
      </c>
      <c r="F206" s="12">
        <v>18.54</v>
      </c>
      <c r="G206" s="11">
        <f>E206*F206</f>
        <v>8048.5847999999987</v>
      </c>
      <c r="H206" s="66">
        <v>0.1203</v>
      </c>
      <c r="I206" s="11">
        <f>G206*H206</f>
        <v>968.24475143999985</v>
      </c>
      <c r="J206" s="144"/>
      <c r="K206" s="240"/>
      <c r="L206" s="240"/>
      <c r="M206" s="240"/>
      <c r="N206" s="240"/>
      <c r="O206" s="240"/>
      <c r="P206" s="240"/>
      <c r="Q206" s="240"/>
      <c r="R206" s="241"/>
      <c r="S206" s="241"/>
      <c r="T206" s="241"/>
    </row>
    <row r="207" spans="1:20" s="2" customFormat="1" ht="89.25" x14ac:dyDescent="0.2">
      <c r="A207" s="387"/>
      <c r="B207" s="387"/>
      <c r="C207" s="33" t="s">
        <v>148</v>
      </c>
      <c r="D207" s="8"/>
      <c r="E207" s="61"/>
      <c r="F207" s="62"/>
      <c r="G207" s="63"/>
      <c r="H207" s="64"/>
      <c r="I207" s="63"/>
      <c r="K207" s="237"/>
      <c r="L207" s="237"/>
      <c r="M207" s="237"/>
      <c r="N207" s="237"/>
      <c r="O207" s="237"/>
      <c r="P207" s="237"/>
      <c r="Q207" s="237"/>
      <c r="R207" s="231"/>
      <c r="S207" s="231"/>
      <c r="T207" s="231"/>
    </row>
    <row r="208" spans="1:20" s="417" customFormat="1" ht="18" customHeight="1" x14ac:dyDescent="0.2">
      <c r="A208" s="387" t="s">
        <v>95</v>
      </c>
      <c r="B208" s="387" t="s">
        <v>150</v>
      </c>
      <c r="C208" s="33" t="s">
        <v>149</v>
      </c>
      <c r="D208" s="8"/>
      <c r="E208" s="61"/>
      <c r="F208" s="62"/>
      <c r="G208" s="63"/>
      <c r="H208" s="64"/>
      <c r="I208" s="63"/>
      <c r="K208" s="418"/>
      <c r="L208" s="418"/>
      <c r="M208" s="418"/>
      <c r="N208" s="418"/>
      <c r="O208" s="418"/>
      <c r="P208" s="418"/>
      <c r="Q208" s="418"/>
      <c r="R208" s="419"/>
      <c r="S208" s="419"/>
      <c r="T208" s="419"/>
    </row>
    <row r="209" spans="1:20" s="2" customFormat="1" x14ac:dyDescent="0.2">
      <c r="A209" s="387"/>
      <c r="B209" s="387"/>
      <c r="C209" s="22" t="s">
        <v>87</v>
      </c>
      <c r="D209" s="8" t="s">
        <v>20</v>
      </c>
      <c r="E209" s="17">
        <v>128.53</v>
      </c>
      <c r="F209" s="12"/>
      <c r="G209" s="11"/>
      <c r="H209" s="66"/>
      <c r="I209" s="11"/>
      <c r="K209" s="237"/>
      <c r="L209" s="237"/>
      <c r="M209" s="237"/>
      <c r="N209" s="237"/>
      <c r="O209" s="237"/>
      <c r="P209" s="237"/>
      <c r="Q209" s="237"/>
      <c r="R209" s="231"/>
      <c r="S209" s="231"/>
      <c r="T209" s="231"/>
    </row>
    <row r="210" spans="1:20" s="2" customFormat="1" x14ac:dyDescent="0.2">
      <c r="A210" s="387"/>
      <c r="B210" s="387"/>
      <c r="C210" s="22" t="s">
        <v>88</v>
      </c>
      <c r="D210" s="8" t="s">
        <v>20</v>
      </c>
      <c r="E210" s="17">
        <v>40.200000000000003</v>
      </c>
      <c r="F210" s="12"/>
      <c r="G210" s="11"/>
      <c r="H210" s="66"/>
      <c r="I210" s="11"/>
      <c r="K210" s="237"/>
      <c r="L210" s="237"/>
      <c r="M210" s="237"/>
      <c r="N210" s="237"/>
      <c r="O210" s="237"/>
      <c r="P210" s="237"/>
      <c r="Q210" s="237"/>
      <c r="R210" s="231"/>
      <c r="S210" s="231"/>
      <c r="T210" s="231"/>
    </row>
    <row r="211" spans="1:20" s="2" customFormat="1" x14ac:dyDescent="0.2">
      <c r="A211" s="387"/>
      <c r="B211" s="387"/>
      <c r="C211" s="22" t="s">
        <v>89</v>
      </c>
      <c r="D211" s="8" t="s">
        <v>20</v>
      </c>
      <c r="E211" s="17">
        <v>76.17</v>
      </c>
      <c r="F211" s="12"/>
      <c r="G211" s="11"/>
      <c r="H211" s="66"/>
      <c r="I211" s="11"/>
      <c r="K211" s="237"/>
      <c r="L211" s="237"/>
      <c r="M211" s="237"/>
      <c r="N211" s="237"/>
      <c r="O211" s="237"/>
      <c r="P211" s="237"/>
      <c r="Q211" s="237"/>
      <c r="R211" s="231"/>
      <c r="S211" s="231"/>
      <c r="T211" s="231"/>
    </row>
    <row r="212" spans="1:20" s="2" customFormat="1" x14ac:dyDescent="0.2">
      <c r="A212" s="387"/>
      <c r="B212" s="387"/>
      <c r="C212" s="22" t="s">
        <v>90</v>
      </c>
      <c r="D212" s="8" t="s">
        <v>20</v>
      </c>
      <c r="E212" s="17">
        <v>32.130000000000003</v>
      </c>
      <c r="F212" s="12"/>
      <c r="G212" s="11"/>
      <c r="H212" s="66"/>
      <c r="I212" s="11"/>
      <c r="K212" s="237"/>
      <c r="L212" s="237"/>
      <c r="M212" s="237"/>
      <c r="N212" s="237"/>
      <c r="O212" s="237"/>
      <c r="P212" s="237"/>
      <c r="Q212" s="237"/>
      <c r="R212" s="231"/>
      <c r="S212" s="231"/>
      <c r="T212" s="231"/>
    </row>
    <row r="213" spans="1:20" s="2" customFormat="1" x14ac:dyDescent="0.2">
      <c r="A213" s="387"/>
      <c r="B213" s="387"/>
      <c r="C213" s="22" t="s">
        <v>91</v>
      </c>
      <c r="D213" s="8" t="s">
        <v>20</v>
      </c>
      <c r="E213" s="17">
        <v>29.76</v>
      </c>
      <c r="F213" s="12"/>
      <c r="G213" s="11"/>
      <c r="H213" s="66"/>
      <c r="I213" s="11"/>
      <c r="K213" s="237"/>
      <c r="L213" s="237"/>
      <c r="M213" s="237"/>
      <c r="N213" s="237"/>
      <c r="O213" s="237"/>
      <c r="P213" s="237"/>
      <c r="Q213" s="237"/>
      <c r="R213" s="231"/>
      <c r="S213" s="231"/>
      <c r="T213" s="231"/>
    </row>
    <row r="214" spans="1:20" s="2" customFormat="1" x14ac:dyDescent="0.2">
      <c r="A214" s="387"/>
      <c r="B214" s="387"/>
      <c r="C214" s="22" t="s">
        <v>92</v>
      </c>
      <c r="D214" s="8" t="s">
        <v>20</v>
      </c>
      <c r="E214" s="17">
        <v>46.92</v>
      </c>
      <c r="F214" s="12"/>
      <c r="G214" s="11"/>
      <c r="H214" s="66"/>
      <c r="I214" s="11"/>
      <c r="K214" s="237"/>
      <c r="L214" s="237"/>
      <c r="M214" s="237"/>
      <c r="N214" s="237"/>
      <c r="O214" s="237"/>
      <c r="P214" s="237"/>
      <c r="Q214" s="237"/>
      <c r="R214" s="231"/>
      <c r="S214" s="231"/>
      <c r="T214" s="231"/>
    </row>
    <row r="215" spans="1:20" s="16" customFormat="1" x14ac:dyDescent="0.2">
      <c r="A215" s="387"/>
      <c r="B215" s="387"/>
      <c r="C215" s="22" t="s">
        <v>183</v>
      </c>
      <c r="D215" s="8"/>
      <c r="E215" s="17">
        <v>38.49</v>
      </c>
      <c r="F215" s="12"/>
      <c r="G215" s="11"/>
      <c r="H215" s="66"/>
      <c r="I215" s="11"/>
      <c r="K215" s="235"/>
      <c r="L215" s="235"/>
      <c r="M215" s="235"/>
      <c r="N215" s="235"/>
      <c r="O215" s="235"/>
      <c r="P215" s="235"/>
      <c r="Q215" s="235"/>
      <c r="R215" s="242"/>
      <c r="S215" s="230"/>
      <c r="T215" s="230"/>
    </row>
    <row r="216" spans="1:20" s="16" customFormat="1" x14ac:dyDescent="0.2">
      <c r="A216" s="387"/>
      <c r="B216" s="387"/>
      <c r="C216" s="22" t="s">
        <v>184</v>
      </c>
      <c r="D216" s="8" t="s">
        <v>20</v>
      </c>
      <c r="E216" s="17">
        <v>34.840000000000003</v>
      </c>
      <c r="F216" s="12"/>
      <c r="G216" s="11"/>
      <c r="H216" s="66"/>
      <c r="I216" s="11"/>
      <c r="J216" s="15"/>
      <c r="K216" s="232"/>
      <c r="L216" s="232"/>
      <c r="M216" s="232"/>
      <c r="N216" s="232"/>
      <c r="O216" s="235"/>
      <c r="P216" s="235"/>
      <c r="Q216" s="235"/>
      <c r="R216" s="230"/>
      <c r="S216" s="230"/>
      <c r="T216" s="230"/>
    </row>
    <row r="217" spans="1:20" s="65" customFormat="1" x14ac:dyDescent="0.2">
      <c r="A217" s="387"/>
      <c r="B217" s="387"/>
      <c r="C217" s="118" t="s">
        <v>13</v>
      </c>
      <c r="D217" s="8" t="s">
        <v>20</v>
      </c>
      <c r="E217" s="119">
        <f>SUM(E209:E216)</f>
        <v>427.04000000000008</v>
      </c>
      <c r="F217" s="12">
        <v>29.61</v>
      </c>
      <c r="G217" s="11">
        <f>E217*F217</f>
        <v>12644.654400000001</v>
      </c>
      <c r="H217" s="66">
        <v>0.27729999999999999</v>
      </c>
      <c r="I217" s="11">
        <f>G217*H217</f>
        <v>3506.3626651200002</v>
      </c>
      <c r="K217" s="240"/>
      <c r="L217" s="240"/>
      <c r="M217" s="240"/>
      <c r="N217" s="240"/>
      <c r="O217" s="240"/>
      <c r="P217" s="240"/>
      <c r="Q217" s="240"/>
      <c r="R217" s="241"/>
      <c r="S217" s="241"/>
      <c r="T217" s="241"/>
    </row>
    <row r="218" spans="1:20" s="2" customFormat="1" x14ac:dyDescent="0.2">
      <c r="A218" s="387"/>
      <c r="B218" s="387"/>
      <c r="C218" s="33" t="s">
        <v>164</v>
      </c>
      <c r="D218" s="8"/>
      <c r="E218" s="61"/>
      <c r="F218" s="62"/>
      <c r="G218" s="63"/>
      <c r="H218" s="64"/>
      <c r="I218" s="63"/>
      <c r="K218" s="237"/>
      <c r="L218" s="237"/>
      <c r="M218" s="237"/>
      <c r="N218" s="237"/>
      <c r="O218" s="237"/>
      <c r="P218" s="237"/>
      <c r="Q218" s="237"/>
      <c r="R218" s="231"/>
      <c r="S218" s="231"/>
      <c r="T218" s="231"/>
    </row>
    <row r="219" spans="1:20" s="417" customFormat="1" ht="18" customHeight="1" x14ac:dyDescent="0.2">
      <c r="A219" s="387" t="s">
        <v>95</v>
      </c>
      <c r="B219" s="387" t="s">
        <v>291</v>
      </c>
      <c r="C219" s="33" t="s">
        <v>165</v>
      </c>
      <c r="D219" s="8"/>
      <c r="E219" s="61"/>
      <c r="F219" s="62"/>
      <c r="G219" s="63"/>
      <c r="H219" s="64"/>
      <c r="I219" s="63"/>
      <c r="K219" s="418"/>
      <c r="L219" s="418"/>
      <c r="M219" s="418"/>
      <c r="N219" s="418"/>
      <c r="O219" s="418"/>
      <c r="P219" s="418"/>
      <c r="Q219" s="418"/>
      <c r="R219" s="419"/>
      <c r="S219" s="419"/>
      <c r="T219" s="419"/>
    </row>
    <row r="220" spans="1:20" s="2" customFormat="1" x14ac:dyDescent="0.2">
      <c r="A220" s="387"/>
      <c r="B220" s="387"/>
      <c r="C220" s="22" t="s">
        <v>166</v>
      </c>
      <c r="D220" s="8" t="s">
        <v>20</v>
      </c>
      <c r="E220" s="17">
        <f>E209*2</f>
        <v>257.06</v>
      </c>
      <c r="F220" s="12"/>
      <c r="G220" s="11"/>
      <c r="H220" s="66"/>
      <c r="I220" s="11"/>
      <c r="K220" s="237"/>
      <c r="L220" s="237"/>
      <c r="M220" s="237"/>
      <c r="N220" s="237"/>
      <c r="O220" s="237"/>
      <c r="P220" s="237"/>
      <c r="Q220" s="237"/>
      <c r="R220" s="231"/>
      <c r="S220" s="231"/>
      <c r="T220" s="231"/>
    </row>
    <row r="221" spans="1:20" s="2" customFormat="1" x14ac:dyDescent="0.2">
      <c r="A221" s="387"/>
      <c r="B221" s="387"/>
      <c r="C221" s="22" t="s">
        <v>167</v>
      </c>
      <c r="D221" s="8" t="s">
        <v>20</v>
      </c>
      <c r="E221" s="17">
        <f t="shared" ref="E221:E227" si="3">E210*2</f>
        <v>80.400000000000006</v>
      </c>
      <c r="F221" s="12"/>
      <c r="G221" s="11"/>
      <c r="H221" s="66"/>
      <c r="I221" s="11"/>
      <c r="K221" s="237"/>
      <c r="L221" s="237"/>
      <c r="M221" s="237"/>
      <c r="N221" s="237"/>
      <c r="O221" s="237"/>
      <c r="P221" s="237"/>
      <c r="Q221" s="237"/>
      <c r="R221" s="231"/>
      <c r="S221" s="231"/>
      <c r="T221" s="231"/>
    </row>
    <row r="222" spans="1:20" s="2" customFormat="1" x14ac:dyDescent="0.2">
      <c r="A222" s="387"/>
      <c r="B222" s="387"/>
      <c r="C222" s="22" t="s">
        <v>168</v>
      </c>
      <c r="D222" s="8" t="s">
        <v>20</v>
      </c>
      <c r="E222" s="17">
        <f t="shared" si="3"/>
        <v>152.34</v>
      </c>
      <c r="F222" s="12"/>
      <c r="G222" s="11"/>
      <c r="H222" s="66"/>
      <c r="I222" s="11"/>
      <c r="K222" s="237"/>
      <c r="L222" s="237"/>
      <c r="M222" s="237"/>
      <c r="N222" s="237"/>
      <c r="O222" s="237"/>
      <c r="P222" s="237"/>
      <c r="Q222" s="237"/>
      <c r="R222" s="231"/>
      <c r="S222" s="231"/>
      <c r="T222" s="231"/>
    </row>
    <row r="223" spans="1:20" s="2" customFormat="1" x14ac:dyDescent="0.2">
      <c r="A223" s="387"/>
      <c r="B223" s="387"/>
      <c r="C223" s="22" t="s">
        <v>169</v>
      </c>
      <c r="D223" s="8" t="s">
        <v>20</v>
      </c>
      <c r="E223" s="17">
        <f t="shared" si="3"/>
        <v>64.260000000000005</v>
      </c>
      <c r="F223" s="12"/>
      <c r="G223" s="11"/>
      <c r="H223" s="66"/>
      <c r="I223" s="11"/>
      <c r="K223" s="237"/>
      <c r="L223" s="237"/>
      <c r="M223" s="237"/>
      <c r="N223" s="237"/>
      <c r="O223" s="237"/>
      <c r="P223" s="237"/>
      <c r="Q223" s="237"/>
      <c r="R223" s="231"/>
      <c r="S223" s="231"/>
      <c r="T223" s="231"/>
    </row>
    <row r="224" spans="1:20" s="2" customFormat="1" x14ac:dyDescent="0.2">
      <c r="A224" s="387"/>
      <c r="B224" s="387"/>
      <c r="C224" s="22" t="s">
        <v>170</v>
      </c>
      <c r="D224" s="8" t="s">
        <v>20</v>
      </c>
      <c r="E224" s="17">
        <f t="shared" si="3"/>
        <v>59.52</v>
      </c>
      <c r="F224" s="12"/>
      <c r="G224" s="11"/>
      <c r="H224" s="66"/>
      <c r="I224" s="11"/>
      <c r="K224" s="237"/>
      <c r="L224" s="237"/>
      <c r="M224" s="237"/>
      <c r="N224" s="237"/>
      <c r="O224" s="237"/>
      <c r="P224" s="237"/>
      <c r="Q224" s="237"/>
      <c r="R224" s="231"/>
      <c r="S224" s="231"/>
      <c r="T224" s="231"/>
    </row>
    <row r="225" spans="1:20" s="2" customFormat="1" x14ac:dyDescent="0.2">
      <c r="A225" s="387"/>
      <c r="B225" s="387"/>
      <c r="C225" s="22" t="s">
        <v>171</v>
      </c>
      <c r="D225" s="8" t="s">
        <v>20</v>
      </c>
      <c r="E225" s="17">
        <f t="shared" si="3"/>
        <v>93.84</v>
      </c>
      <c r="F225" s="12"/>
      <c r="G225" s="11"/>
      <c r="H225" s="66"/>
      <c r="I225" s="11"/>
      <c r="K225" s="237"/>
      <c r="L225" s="237"/>
      <c r="M225" s="237"/>
      <c r="N225" s="237"/>
      <c r="O225" s="237"/>
      <c r="P225" s="237"/>
      <c r="Q225" s="237"/>
      <c r="R225" s="231"/>
      <c r="S225" s="231"/>
      <c r="T225" s="231"/>
    </row>
    <row r="226" spans="1:20" s="16" customFormat="1" x14ac:dyDescent="0.2">
      <c r="A226" s="387"/>
      <c r="B226" s="387"/>
      <c r="C226" s="22" t="s">
        <v>196</v>
      </c>
      <c r="D226" s="8" t="s">
        <v>20</v>
      </c>
      <c r="E226" s="17">
        <f t="shared" si="3"/>
        <v>76.98</v>
      </c>
      <c r="F226" s="12"/>
      <c r="G226" s="11"/>
      <c r="H226" s="66"/>
      <c r="I226" s="11"/>
      <c r="K226" s="235"/>
      <c r="L226" s="235"/>
      <c r="M226" s="235"/>
      <c r="N226" s="235"/>
      <c r="O226" s="235"/>
      <c r="P226" s="235"/>
      <c r="Q226" s="235"/>
      <c r="R226" s="242"/>
      <c r="S226" s="230"/>
      <c r="T226" s="230"/>
    </row>
    <row r="227" spans="1:20" s="16" customFormat="1" x14ac:dyDescent="0.2">
      <c r="A227" s="387"/>
      <c r="B227" s="387"/>
      <c r="C227" s="22" t="s">
        <v>197</v>
      </c>
      <c r="D227" s="8" t="s">
        <v>20</v>
      </c>
      <c r="E227" s="17">
        <f t="shared" si="3"/>
        <v>69.680000000000007</v>
      </c>
      <c r="F227" s="12"/>
      <c r="G227" s="11"/>
      <c r="H227" s="66"/>
      <c r="I227" s="11"/>
      <c r="J227" s="15"/>
      <c r="K227" s="232"/>
      <c r="L227" s="232"/>
      <c r="M227" s="232"/>
      <c r="N227" s="232"/>
      <c r="O227" s="235"/>
      <c r="P227" s="235"/>
      <c r="Q227" s="235"/>
      <c r="R227" s="230"/>
      <c r="S227" s="230"/>
      <c r="T227" s="230"/>
    </row>
    <row r="228" spans="1:20" s="31" customFormat="1" x14ac:dyDescent="0.2">
      <c r="A228" s="387"/>
      <c r="B228" s="387"/>
      <c r="C228" s="118" t="s">
        <v>13</v>
      </c>
      <c r="D228" s="8" t="s">
        <v>20</v>
      </c>
      <c r="E228" s="119">
        <f>SUM(E220:E227)</f>
        <v>854.08000000000015</v>
      </c>
      <c r="F228" s="12">
        <v>26.47</v>
      </c>
      <c r="G228" s="11">
        <f>E228*F228</f>
        <v>22607.497600000002</v>
      </c>
      <c r="H228" s="66">
        <v>0</v>
      </c>
      <c r="I228" s="11">
        <f>G228*H228</f>
        <v>0</v>
      </c>
      <c r="K228" s="238"/>
      <c r="L228" s="238"/>
      <c r="M228" s="238"/>
      <c r="N228" s="238"/>
      <c r="O228" s="238"/>
      <c r="P228" s="238"/>
      <c r="Q228" s="238"/>
      <c r="R228" s="238"/>
      <c r="S228" s="236"/>
      <c r="T228" s="236"/>
    </row>
    <row r="229" spans="1:20" s="16" customFormat="1" x14ac:dyDescent="0.2">
      <c r="A229" s="387"/>
      <c r="B229" s="387"/>
      <c r="C229" s="32"/>
      <c r="D229" s="8"/>
      <c r="E229" s="17"/>
      <c r="F229" s="7"/>
      <c r="G229" s="11"/>
      <c r="H229" s="121"/>
      <c r="I229" s="11"/>
      <c r="K229" s="235"/>
      <c r="L229" s="235"/>
      <c r="M229" s="235"/>
      <c r="N229" s="235"/>
      <c r="O229" s="235"/>
      <c r="P229" s="235"/>
      <c r="Q229" s="235"/>
      <c r="R229" s="230"/>
      <c r="S229" s="230"/>
      <c r="T229" s="230"/>
    </row>
    <row r="230" spans="1:20" s="31" customFormat="1" x14ac:dyDescent="0.2">
      <c r="A230" s="387"/>
      <c r="B230" s="387"/>
      <c r="C230" s="122" t="s">
        <v>260</v>
      </c>
      <c r="D230" s="8"/>
      <c r="E230" s="23"/>
      <c r="F230" s="26"/>
      <c r="G230" s="29">
        <f>SUM(G183:G229)</f>
        <v>330463.26746499998</v>
      </c>
      <c r="H230" s="116">
        <f>I230/G230</f>
        <v>0.15292313037659566</v>
      </c>
      <c r="I230" s="29">
        <f>SUM(I183:I229)</f>
        <v>50535.477335225994</v>
      </c>
      <c r="K230" s="235"/>
      <c r="L230" s="235"/>
      <c r="M230" s="235"/>
      <c r="N230" s="235"/>
      <c r="O230" s="235"/>
      <c r="P230" s="235"/>
      <c r="Q230" s="235"/>
      <c r="R230" s="236"/>
      <c r="S230" s="236"/>
      <c r="T230" s="236"/>
    </row>
    <row r="231" spans="1:20" x14ac:dyDescent="0.2">
      <c r="A231" s="387"/>
      <c r="B231" s="387"/>
      <c r="C231" s="20"/>
      <c r="D231" s="8"/>
      <c r="E231" s="17"/>
      <c r="F231" s="12"/>
      <c r="G231" s="11"/>
      <c r="H231" s="66"/>
      <c r="I231" s="11"/>
    </row>
    <row r="232" spans="1:20" s="16" customFormat="1" ht="13.5" thickBot="1" x14ac:dyDescent="0.25">
      <c r="A232" s="383"/>
      <c r="B232" s="376"/>
      <c r="C232" s="153" t="s">
        <v>76</v>
      </c>
      <c r="D232" s="8"/>
      <c r="E232" s="73"/>
      <c r="F232" s="154"/>
      <c r="G232" s="74">
        <f>G230+G181+G175+G145</f>
        <v>411132.09020691749</v>
      </c>
      <c r="H232" s="420">
        <f>I232/G232</f>
        <v>0.25768463159596139</v>
      </c>
      <c r="I232" s="74">
        <f>I230+I181+I175+I145</f>
        <v>105942.4212022471</v>
      </c>
      <c r="K232" s="243"/>
      <c r="L232" s="243"/>
      <c r="M232" s="243"/>
      <c r="N232" s="243"/>
      <c r="O232" s="243"/>
      <c r="P232" s="243"/>
      <c r="Q232" s="243"/>
      <c r="R232" s="243"/>
      <c r="S232" s="230"/>
      <c r="T232" s="230"/>
    </row>
    <row r="233" spans="1:20" s="16" customFormat="1" ht="13.5" thickBot="1" x14ac:dyDescent="0.25">
      <c r="A233" s="384"/>
      <c r="B233" s="377"/>
      <c r="C233" s="2"/>
      <c r="D233" s="3"/>
      <c r="E233" s="133"/>
      <c r="F233" s="4"/>
      <c r="G233" s="5"/>
      <c r="H233" s="134"/>
      <c r="I233" s="5"/>
      <c r="K233" s="235"/>
      <c r="L233" s="235"/>
      <c r="M233" s="235"/>
      <c r="N233" s="235"/>
      <c r="O233" s="235"/>
      <c r="P233" s="235"/>
      <c r="Q233" s="235"/>
      <c r="R233" s="230"/>
      <c r="S233" s="230"/>
      <c r="T233" s="230"/>
    </row>
    <row r="234" spans="1:20" s="16" customFormat="1" ht="13.5" thickBot="1" x14ac:dyDescent="0.25">
      <c r="A234" s="385"/>
      <c r="B234" s="378"/>
      <c r="C234" s="135" t="s">
        <v>36</v>
      </c>
      <c r="D234" s="136"/>
      <c r="E234" s="137"/>
      <c r="F234" s="138"/>
      <c r="G234" s="139">
        <f>G76+G121+G232</f>
        <v>639628.76998491748</v>
      </c>
      <c r="H234" s="139">
        <f>I234/G234</f>
        <v>0.2482929221977335</v>
      </c>
      <c r="I234" s="139">
        <f>I76+I121+I232</f>
        <v>158815.2964212971</v>
      </c>
      <c r="K234" s="235"/>
      <c r="L234" s="235"/>
      <c r="M234" s="235"/>
      <c r="N234" s="235"/>
      <c r="O234" s="235"/>
      <c r="P234" s="235"/>
      <c r="Q234" s="235"/>
      <c r="R234" s="230"/>
      <c r="S234" s="230"/>
      <c r="T234" s="230"/>
    </row>
    <row r="235" spans="1:20" x14ac:dyDescent="0.2">
      <c r="A235" s="386"/>
      <c r="B235" s="379"/>
      <c r="C235" s="141" t="s">
        <v>271</v>
      </c>
      <c r="D235" s="76"/>
      <c r="E235" s="142"/>
      <c r="F235" s="26"/>
      <c r="G235" s="155">
        <f>G234-G236</f>
        <v>632718.76998491748</v>
      </c>
      <c r="H235" s="143"/>
      <c r="I235" s="143"/>
    </row>
    <row r="236" spans="1:20" s="16" customFormat="1" x14ac:dyDescent="0.2">
      <c r="A236" s="386"/>
      <c r="B236" s="379"/>
      <c r="C236" s="141" t="s">
        <v>162</v>
      </c>
      <c r="D236" s="76"/>
      <c r="E236" s="142"/>
      <c r="F236" s="26"/>
      <c r="G236" s="155">
        <f>G181</f>
        <v>6909.9999999999991</v>
      </c>
      <c r="H236" s="143"/>
      <c r="I236" s="143"/>
      <c r="K236" s="235"/>
      <c r="L236" s="235"/>
      <c r="M236" s="235"/>
      <c r="N236" s="235"/>
      <c r="O236" s="235"/>
      <c r="P236" s="235"/>
      <c r="Q236" s="235"/>
      <c r="R236" s="230"/>
      <c r="S236" s="230"/>
      <c r="T236" s="230"/>
    </row>
    <row r="237" spans="1:20" ht="13.5" thickBot="1" x14ac:dyDescent="0.25"/>
    <row r="238" spans="1:20" ht="13.5" thickBot="1" x14ac:dyDescent="0.25">
      <c r="A238" s="385"/>
      <c r="B238" s="378"/>
      <c r="C238" s="135" t="s">
        <v>62</v>
      </c>
      <c r="D238" s="136"/>
      <c r="E238" s="137"/>
      <c r="F238" s="138"/>
      <c r="G238" s="139">
        <f>G43+G58</f>
        <v>137769.37</v>
      </c>
      <c r="H238" s="140"/>
      <c r="I238" s="139">
        <f>I43+I58</f>
        <v>620.58253999999999</v>
      </c>
    </row>
    <row r="240" spans="1:20" x14ac:dyDescent="0.2">
      <c r="C240" s="182"/>
      <c r="G240" s="183"/>
    </row>
    <row r="241" spans="3:10" x14ac:dyDescent="0.2">
      <c r="C241" s="158"/>
    </row>
    <row r="244" spans="3:10" x14ac:dyDescent="0.2">
      <c r="J244" s="159"/>
    </row>
    <row r="246" spans="3:10" x14ac:dyDescent="0.2">
      <c r="C246" s="158"/>
      <c r="G246" s="157"/>
      <c r="H246" s="157"/>
    </row>
  </sheetData>
  <sheetProtection formatCells="0" formatColumns="0" formatRows="0" insertColumns="0" insertRows="0" deleteColumns="0" deleteRows="0"/>
  <mergeCells count="3">
    <mergeCell ref="D1:E1"/>
    <mergeCell ref="F1:G1"/>
    <mergeCell ref="H1:I1"/>
  </mergeCells>
  <phoneticPr fontId="2" type="noConversion"/>
  <printOptions horizontalCentered="1"/>
  <pageMargins left="0.39370078740157483" right="0.39370078740157483" top="0.39370078740157483" bottom="0.39370078740157483" header="0" footer="0"/>
  <pageSetup paperSize="9" scale="53" firstPageNumber="0" fitToHeight="15" orientation="portrait" cellComments="asDisplayed" r:id="rId1"/>
  <headerFooter alignWithMargins="0"/>
  <rowBreaks count="3" manualBreakCount="3">
    <brk id="54" max="8" man="1"/>
    <brk id="101" max="8" man="1"/>
    <brk id="176" max="8" man="1"/>
  </rowBreaks>
  <ignoredErrors>
    <ignoredError sqref="C237:G237 C1:G1 D234:E234 C3:G4 C239:G239 C253:G6539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BD406-8C66-4ADC-9E18-2EE7E288B746}">
  <dimension ref="A1:L27"/>
  <sheetViews>
    <sheetView view="pageBreakPreview" zoomScaleNormal="100" zoomScaleSheetLayoutView="100" workbookViewId="0">
      <selection activeCell="J21" sqref="J21"/>
    </sheetView>
  </sheetViews>
  <sheetFormatPr defaultRowHeight="12.75" x14ac:dyDescent="0.2"/>
  <cols>
    <col min="1" max="1" width="5.7109375" style="196" customWidth="1"/>
    <col min="2" max="2" width="9.5703125" style="196" customWidth="1"/>
    <col min="3" max="3" width="33.42578125" style="209" customWidth="1"/>
    <col min="4" max="4" width="15.7109375" style="196" customWidth="1"/>
    <col min="5" max="5" width="12.7109375" style="196" customWidth="1"/>
    <col min="6" max="6" width="15.7109375" style="196" customWidth="1"/>
    <col min="7" max="7" width="12.7109375" style="196" customWidth="1"/>
    <col min="8" max="10" width="9.140625" style="196"/>
    <col min="11" max="11" width="14.5703125" style="196" bestFit="1" customWidth="1"/>
    <col min="12" max="16384" width="9.140625" style="196"/>
  </cols>
  <sheetData>
    <row r="1" spans="1:12" ht="23.25" customHeight="1" x14ac:dyDescent="0.2">
      <c r="A1" s="336" t="s">
        <v>216</v>
      </c>
      <c r="B1" s="337"/>
      <c r="C1" s="338"/>
      <c r="D1" s="342" t="s">
        <v>228</v>
      </c>
      <c r="E1" s="343"/>
      <c r="F1" s="334" t="s">
        <v>229</v>
      </c>
      <c r="G1" s="335"/>
    </row>
    <row r="2" spans="1:12" s="197" customFormat="1" ht="25.5" customHeight="1" x14ac:dyDescent="0.2">
      <c r="A2" s="339"/>
      <c r="B2" s="340"/>
      <c r="C2" s="341"/>
      <c r="D2" s="331" t="s">
        <v>227</v>
      </c>
      <c r="E2" s="331" t="s">
        <v>225</v>
      </c>
      <c r="F2" s="331" t="s">
        <v>230</v>
      </c>
      <c r="G2" s="350" t="s">
        <v>214</v>
      </c>
    </row>
    <row r="3" spans="1:12" s="197" customFormat="1" x14ac:dyDescent="0.2">
      <c r="A3" s="324" t="s">
        <v>217</v>
      </c>
      <c r="B3" s="331"/>
      <c r="C3" s="331" t="s">
        <v>226</v>
      </c>
      <c r="D3" s="331"/>
      <c r="E3" s="331"/>
      <c r="F3" s="331"/>
      <c r="G3" s="350"/>
    </row>
    <row r="4" spans="1:12" ht="13.5" thickBot="1" x14ac:dyDescent="0.25">
      <c r="A4" s="332"/>
      <c r="B4" s="333"/>
      <c r="C4" s="333"/>
      <c r="D4" s="333"/>
      <c r="E4" s="333"/>
      <c r="F4" s="333"/>
      <c r="G4" s="351"/>
    </row>
    <row r="5" spans="1:12" ht="13.5" thickBot="1" x14ac:dyDescent="0.25">
      <c r="A5" s="344"/>
      <c r="B5" s="345"/>
      <c r="C5" s="345"/>
      <c r="D5" s="345"/>
      <c r="E5" s="345"/>
      <c r="F5" s="345"/>
      <c r="G5" s="346"/>
    </row>
    <row r="6" spans="1:12" ht="15" customHeight="1" thickBot="1" x14ac:dyDescent="0.25">
      <c r="A6" s="347" t="s">
        <v>69</v>
      </c>
      <c r="B6" s="348"/>
      <c r="C6" s="348"/>
      <c r="D6" s="348"/>
      <c r="E6" s="348"/>
      <c r="F6" s="348"/>
      <c r="G6" s="349"/>
    </row>
    <row r="7" spans="1:12" ht="26.25" thickBot="1" x14ac:dyDescent="0.25">
      <c r="A7" s="216">
        <v>1</v>
      </c>
      <c r="B7" s="217" t="s">
        <v>222</v>
      </c>
      <c r="C7" s="218" t="s">
        <v>223</v>
      </c>
      <c r="D7" s="219">
        <f>SUM(D8:D9)</f>
        <v>358021.070465</v>
      </c>
      <c r="E7" s="220">
        <f>D7/D17</f>
        <v>0.46053759592471633</v>
      </c>
      <c r="F7" s="219">
        <f>CME!I230+CME!I145</f>
        <v>56609.238636665992</v>
      </c>
      <c r="G7" s="221">
        <f t="shared" ref="G7:G15" si="0">F7/D7</f>
        <v>0.1581170587617694</v>
      </c>
    </row>
    <row r="8" spans="1:12" ht="24.95" customHeight="1" x14ac:dyDescent="0.2">
      <c r="A8" s="229"/>
      <c r="B8" s="227"/>
      <c r="C8" s="192" t="s">
        <v>270</v>
      </c>
      <c r="D8" s="193">
        <f>CME!G230</f>
        <v>330463.26746499998</v>
      </c>
      <c r="E8" s="194">
        <f>D8/D17</f>
        <v>0.42508883217988069</v>
      </c>
      <c r="F8" s="193">
        <f>CME!I230</f>
        <v>50535.477335225994</v>
      </c>
      <c r="G8" s="195">
        <f t="shared" si="0"/>
        <v>0.15292313037659566</v>
      </c>
    </row>
    <row r="9" spans="1:12" ht="24.95" customHeight="1" thickBot="1" x14ac:dyDescent="0.25">
      <c r="A9" s="229"/>
      <c r="B9" s="227"/>
      <c r="C9" s="192" t="s">
        <v>111</v>
      </c>
      <c r="D9" s="193">
        <f>CME!G145</f>
        <v>27557.803</v>
      </c>
      <c r="E9" s="194">
        <f>D9/D17</f>
        <v>3.5448763744835632E-2</v>
      </c>
      <c r="F9" s="193">
        <f>CME!I145</f>
        <v>6073.7613014400004</v>
      </c>
      <c r="G9" s="195">
        <f t="shared" si="0"/>
        <v>0.22040078091276</v>
      </c>
      <c r="K9" s="204"/>
    </row>
    <row r="10" spans="1:12" ht="30" customHeight="1" x14ac:dyDescent="0.2">
      <c r="A10" s="198">
        <v>2</v>
      </c>
      <c r="B10" s="199" t="s">
        <v>218</v>
      </c>
      <c r="C10" s="200" t="s">
        <v>219</v>
      </c>
      <c r="D10" s="201">
        <f>SUM(QR!D11:D14)</f>
        <v>204528.22151991748</v>
      </c>
      <c r="E10" s="202">
        <f>D10/D17</f>
        <v>0.26309327357521795</v>
      </c>
      <c r="F10" s="201">
        <f>SUM(QR!F11:F14)</f>
        <v>61626.273262231123</v>
      </c>
      <c r="G10" s="203">
        <f t="shared" si="0"/>
        <v>0.30130938803586965</v>
      </c>
      <c r="K10" s="204"/>
    </row>
    <row r="11" spans="1:12" ht="24.95" customHeight="1" x14ac:dyDescent="0.2">
      <c r="A11" s="224"/>
      <c r="B11" s="222"/>
      <c r="C11" s="192" t="s">
        <v>252</v>
      </c>
      <c r="D11" s="193">
        <f>CME!G43</f>
        <v>123977.98999999999</v>
      </c>
      <c r="E11" s="194">
        <f>D11/D17</f>
        <v>0.15947811503948969</v>
      </c>
      <c r="F11" s="193">
        <f>CME!I43</f>
        <v>620.58253999999999</v>
      </c>
      <c r="G11" s="195">
        <f t="shared" si="0"/>
        <v>5.0055863948108856E-3</v>
      </c>
      <c r="J11" s="228"/>
      <c r="K11" s="204"/>
    </row>
    <row r="12" spans="1:12" ht="24.95" customHeight="1" x14ac:dyDescent="0.2">
      <c r="A12" s="226"/>
      <c r="B12" s="227"/>
      <c r="C12" s="192" t="s">
        <v>253</v>
      </c>
      <c r="D12" s="193">
        <f>CME!G58</f>
        <v>13791.38</v>
      </c>
      <c r="E12" s="194">
        <f>D12/D17</f>
        <v>1.7740433493020152E-2</v>
      </c>
      <c r="F12" s="193">
        <f>CME!I58</f>
        <v>0</v>
      </c>
      <c r="G12" s="195">
        <f t="shared" si="0"/>
        <v>0</v>
      </c>
      <c r="K12" s="204"/>
    </row>
    <row r="13" spans="1:12" ht="30" customHeight="1" x14ac:dyDescent="0.2">
      <c r="A13" s="226"/>
      <c r="B13" s="227"/>
      <c r="C13" s="192" t="s">
        <v>254</v>
      </c>
      <c r="D13" s="193">
        <f>CME!G100+CME!G175</f>
        <v>57147.351519917502</v>
      </c>
      <c r="E13" s="194">
        <f>D13/D17</f>
        <v>7.3511047403620272E-2</v>
      </c>
      <c r="F13" s="193">
        <f>CME!I100+CME!I175</f>
        <v>52448.229522231122</v>
      </c>
      <c r="G13" s="195">
        <f t="shared" si="0"/>
        <v>0.91777183241731508</v>
      </c>
      <c r="K13" s="204"/>
    </row>
    <row r="14" spans="1:12" ht="24.95" customHeight="1" thickBot="1" x14ac:dyDescent="0.25">
      <c r="A14" s="225"/>
      <c r="B14" s="223"/>
      <c r="C14" s="184" t="s">
        <v>255</v>
      </c>
      <c r="D14" s="185">
        <f>CME!G76+CME!G181</f>
        <v>9611.5</v>
      </c>
      <c r="E14" s="190">
        <f>D14/D17</f>
        <v>1.2363677639087836E-2</v>
      </c>
      <c r="F14" s="185">
        <f>CME!I76+CME!I181</f>
        <v>8557.4611999999997</v>
      </c>
      <c r="G14" s="191">
        <f t="shared" si="0"/>
        <v>0.89033566040680434</v>
      </c>
      <c r="K14" s="204"/>
    </row>
    <row r="15" spans="1:12" ht="50.1" customHeight="1" thickBot="1" x14ac:dyDescent="0.25">
      <c r="A15" s="216">
        <v>3</v>
      </c>
      <c r="B15" s="217" t="s">
        <v>220</v>
      </c>
      <c r="C15" s="218" t="s">
        <v>221</v>
      </c>
      <c r="D15" s="219">
        <f>CME!G119</f>
        <v>214848.848</v>
      </c>
      <c r="E15" s="220">
        <f>D15/D17</f>
        <v>0.27636913050006567</v>
      </c>
      <c r="F15" s="219">
        <f>CME!I119</f>
        <v>41200.367062400001</v>
      </c>
      <c r="G15" s="221">
        <f t="shared" si="0"/>
        <v>0.19176443088212416</v>
      </c>
      <c r="K15" s="204"/>
      <c r="L15" s="205"/>
    </row>
    <row r="16" spans="1:12" ht="13.5" thickBot="1" x14ac:dyDescent="0.25">
      <c r="A16" s="344"/>
      <c r="B16" s="345"/>
      <c r="C16" s="345"/>
      <c r="D16" s="345"/>
      <c r="E16" s="345"/>
      <c r="F16" s="345"/>
      <c r="G16" s="346"/>
      <c r="K16" s="204"/>
    </row>
    <row r="17" spans="1:11" ht="15" customHeight="1" thickBot="1" x14ac:dyDescent="0.25">
      <c r="A17" s="329" t="s">
        <v>224</v>
      </c>
      <c r="B17" s="330"/>
      <c r="C17" s="330"/>
      <c r="D17" s="206">
        <f>D7+D15+D10</f>
        <v>777398.13998491748</v>
      </c>
      <c r="E17" s="207">
        <f>E7+E15+E10</f>
        <v>0.99999999999999989</v>
      </c>
      <c r="F17" s="208">
        <f>F7+F15+F10</f>
        <v>159435.8789612971</v>
      </c>
      <c r="G17" s="207">
        <f>F17/D17</f>
        <v>0.20508909239786755</v>
      </c>
      <c r="K17" s="204"/>
    </row>
    <row r="18" spans="1:11" ht="13.5" thickBot="1" x14ac:dyDescent="0.25"/>
    <row r="19" spans="1:11" ht="25.5" x14ac:dyDescent="0.2">
      <c r="A19" s="322" t="s">
        <v>231</v>
      </c>
      <c r="B19" s="323"/>
      <c r="C19" s="323"/>
      <c r="D19" s="210" t="s">
        <v>232</v>
      </c>
      <c r="E19" s="199" t="s">
        <v>215</v>
      </c>
      <c r="F19" s="210" t="s">
        <v>233</v>
      </c>
      <c r="G19" s="211" t="s">
        <v>215</v>
      </c>
    </row>
    <row r="20" spans="1:11" ht="20.100000000000001" customHeight="1" x14ac:dyDescent="0.2">
      <c r="A20" s="324" t="s">
        <v>234</v>
      </c>
      <c r="B20" s="313" t="s">
        <v>238</v>
      </c>
      <c r="C20" s="313"/>
      <c r="D20" s="312">
        <f>CME!G234</f>
        <v>639628.76998491748</v>
      </c>
      <c r="E20" s="328">
        <f>D20/D17</f>
        <v>0.82278145146749015</v>
      </c>
      <c r="F20" s="316"/>
      <c r="G20" s="314"/>
    </row>
    <row r="21" spans="1:11" ht="20.100000000000001" customHeight="1" x14ac:dyDescent="0.2">
      <c r="A21" s="324"/>
      <c r="B21" s="313"/>
      <c r="C21" s="313"/>
      <c r="D21" s="312"/>
      <c r="E21" s="328"/>
      <c r="F21" s="317"/>
      <c r="G21" s="315"/>
    </row>
    <row r="22" spans="1:11" ht="20.100000000000001" customHeight="1" x14ac:dyDescent="0.2">
      <c r="A22" s="324" t="s">
        <v>235</v>
      </c>
      <c r="B22" s="313" t="s">
        <v>237</v>
      </c>
      <c r="C22" s="313"/>
      <c r="D22" s="325"/>
      <c r="E22" s="327"/>
      <c r="F22" s="312">
        <f>CME!G238</f>
        <v>137769.37</v>
      </c>
      <c r="G22" s="318">
        <f>F22/D17</f>
        <v>0.17721854853250987</v>
      </c>
    </row>
    <row r="23" spans="1:11" ht="20.100000000000001" customHeight="1" x14ac:dyDescent="0.2">
      <c r="A23" s="324"/>
      <c r="B23" s="313"/>
      <c r="C23" s="313"/>
      <c r="D23" s="326"/>
      <c r="E23" s="327"/>
      <c r="F23" s="312"/>
      <c r="G23" s="319"/>
    </row>
    <row r="24" spans="1:11" ht="15" customHeight="1" thickBot="1" x14ac:dyDescent="0.25">
      <c r="A24" s="320" t="s">
        <v>236</v>
      </c>
      <c r="B24" s="321"/>
      <c r="C24" s="321"/>
      <c r="D24" s="212">
        <f>D20</f>
        <v>639628.76998491748</v>
      </c>
      <c r="E24" s="213">
        <f>E20</f>
        <v>0.82278145146749015</v>
      </c>
      <c r="F24" s="214">
        <f>F22</f>
        <v>137769.37</v>
      </c>
      <c r="G24" s="215">
        <f>G22</f>
        <v>0.17721854853250987</v>
      </c>
    </row>
    <row r="27" spans="1:11" x14ac:dyDescent="0.2">
      <c r="D27" s="204"/>
      <c r="F27" s="204"/>
    </row>
  </sheetData>
  <mergeCells count="27">
    <mergeCell ref="A17:C17"/>
    <mergeCell ref="A3:B4"/>
    <mergeCell ref="F1:G1"/>
    <mergeCell ref="A1:C2"/>
    <mergeCell ref="D1:E1"/>
    <mergeCell ref="F2:F4"/>
    <mergeCell ref="A5:G5"/>
    <mergeCell ref="A6:G6"/>
    <mergeCell ref="A16:G16"/>
    <mergeCell ref="C3:C4"/>
    <mergeCell ref="D2:D4"/>
    <mergeCell ref="E2:E4"/>
    <mergeCell ref="G2:G4"/>
    <mergeCell ref="A24:C24"/>
    <mergeCell ref="A19:C19"/>
    <mergeCell ref="A22:A23"/>
    <mergeCell ref="D22:D23"/>
    <mergeCell ref="E22:E23"/>
    <mergeCell ref="A20:A21"/>
    <mergeCell ref="D20:D21"/>
    <mergeCell ref="E20:E21"/>
    <mergeCell ref="F22:F23"/>
    <mergeCell ref="B22:C23"/>
    <mergeCell ref="B20:C21"/>
    <mergeCell ref="G20:G21"/>
    <mergeCell ref="F20:F21"/>
    <mergeCell ref="G22:G23"/>
  </mergeCells>
  <pageMargins left="0.7" right="0.7" top="0.75" bottom="0.75" header="0.3" footer="0.3"/>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36"/>
  <sheetViews>
    <sheetView zoomScale="90" zoomScaleNormal="90" workbookViewId="0">
      <selection activeCell="S44" sqref="S44"/>
    </sheetView>
  </sheetViews>
  <sheetFormatPr defaultColWidth="9.140625" defaultRowHeight="12.75" x14ac:dyDescent="0.2"/>
  <cols>
    <col min="1" max="1" width="19.42578125" style="34" customWidth="1"/>
    <col min="2" max="2" width="13" style="36" customWidth="1"/>
    <col min="3" max="3" width="9.140625" style="35"/>
    <col min="4" max="6" width="11.7109375" style="35" customWidth="1"/>
    <col min="7" max="7" width="11.7109375" style="34" customWidth="1"/>
    <col min="8" max="9" width="15.7109375" style="35" customWidth="1"/>
    <col min="10" max="17" width="9.140625" style="34"/>
    <col min="18" max="19" width="9.140625" style="69"/>
    <col min="20" max="20" width="9.42578125" style="69" customWidth="1"/>
    <col min="21" max="24" width="9.140625" style="69"/>
    <col min="25" max="26" width="9.28515625" style="34" customWidth="1"/>
    <col min="27" max="16384" width="9.140625" style="34"/>
  </cols>
  <sheetData>
    <row r="1" spans="1:21" x14ac:dyDescent="0.2">
      <c r="A1" s="432" t="s">
        <v>175</v>
      </c>
      <c r="C1" s="244"/>
      <c r="D1" s="244"/>
      <c r="E1" s="244"/>
      <c r="F1" s="244"/>
      <c r="H1" s="244"/>
      <c r="I1" s="244"/>
    </row>
    <row r="2" spans="1:21" x14ac:dyDescent="0.2">
      <c r="B2" s="36" t="s">
        <v>123</v>
      </c>
      <c r="C2" s="35" t="s">
        <v>124</v>
      </c>
      <c r="D2" s="352" t="s">
        <v>4</v>
      </c>
      <c r="E2" s="353"/>
      <c r="F2" s="354"/>
      <c r="G2" s="49" t="s">
        <v>126</v>
      </c>
      <c r="H2" s="355" t="s">
        <v>138</v>
      </c>
      <c r="I2" s="355"/>
      <c r="J2" s="352" t="s">
        <v>151</v>
      </c>
      <c r="K2" s="353"/>
      <c r="L2" s="353"/>
      <c r="M2" s="354"/>
      <c r="N2" s="352" t="s">
        <v>155</v>
      </c>
      <c r="O2" s="353"/>
      <c r="P2" s="353"/>
      <c r="Q2" s="354"/>
    </row>
    <row r="3" spans="1:21" ht="13.5" thickBot="1" x14ac:dyDescent="0.25">
      <c r="D3" s="53" t="s">
        <v>125</v>
      </c>
      <c r="E3" s="45" t="s">
        <v>141</v>
      </c>
      <c r="F3" s="46" t="s">
        <v>20</v>
      </c>
      <c r="G3" s="49"/>
      <c r="H3" s="35" t="s">
        <v>139</v>
      </c>
      <c r="I3" s="35" t="s">
        <v>140</v>
      </c>
      <c r="J3" s="51" t="s">
        <v>152</v>
      </c>
      <c r="K3" s="44" t="s">
        <v>141</v>
      </c>
      <c r="L3" s="44" t="s">
        <v>153</v>
      </c>
      <c r="M3" s="52" t="s">
        <v>154</v>
      </c>
      <c r="N3" s="51" t="s">
        <v>152</v>
      </c>
      <c r="O3" s="44" t="s">
        <v>141</v>
      </c>
      <c r="P3" s="44" t="s">
        <v>153</v>
      </c>
      <c r="Q3" s="52" t="s">
        <v>154</v>
      </c>
      <c r="R3" s="70"/>
      <c r="S3" s="70"/>
      <c r="T3" s="70"/>
    </row>
    <row r="4" spans="1:21" x14ac:dyDescent="0.2">
      <c r="A4" s="37" t="s">
        <v>295</v>
      </c>
      <c r="B4" s="38" t="s">
        <v>137</v>
      </c>
      <c r="C4" s="40" t="s">
        <v>128</v>
      </c>
      <c r="D4" s="54">
        <v>0.9</v>
      </c>
      <c r="E4" s="42">
        <v>2</v>
      </c>
      <c r="F4" s="47">
        <f t="shared" ref="F4:F13" si="0">D4*E4</f>
        <v>1.8</v>
      </c>
      <c r="G4" s="50">
        <v>4</v>
      </c>
      <c r="H4" s="39" t="s">
        <v>158</v>
      </c>
      <c r="I4" s="39" t="s">
        <v>157</v>
      </c>
      <c r="J4" s="58"/>
      <c r="K4" s="59"/>
      <c r="L4" s="59"/>
      <c r="M4" s="60"/>
      <c r="N4" s="58"/>
      <c r="O4" s="59"/>
      <c r="P4" s="59"/>
      <c r="Q4" s="60"/>
      <c r="R4" s="72"/>
      <c r="T4" s="71"/>
    </row>
    <row r="5" spans="1:21" x14ac:dyDescent="0.2">
      <c r="C5" s="41" t="s">
        <v>129</v>
      </c>
      <c r="D5" s="55">
        <v>9.4</v>
      </c>
      <c r="E5" s="56">
        <v>1.2</v>
      </c>
      <c r="F5" s="48">
        <f t="shared" si="0"/>
        <v>11.28</v>
      </c>
      <c r="G5" s="49">
        <v>4</v>
      </c>
      <c r="H5" s="35" t="s">
        <v>158</v>
      </c>
      <c r="I5" s="35" t="s">
        <v>157</v>
      </c>
      <c r="J5" s="58"/>
      <c r="K5" s="59"/>
      <c r="L5" s="59"/>
      <c r="M5" s="60"/>
      <c r="N5" s="58"/>
      <c r="O5" s="59"/>
      <c r="P5" s="59"/>
      <c r="Q5" s="60"/>
      <c r="R5" s="71"/>
      <c r="T5" s="71"/>
    </row>
    <row r="6" spans="1:21" x14ac:dyDescent="0.2">
      <c r="C6" s="41"/>
      <c r="D6" s="55">
        <v>8.1</v>
      </c>
      <c r="E6" s="56">
        <v>0.55000000000000004</v>
      </c>
      <c r="F6" s="48">
        <f t="shared" si="0"/>
        <v>4.4550000000000001</v>
      </c>
      <c r="G6" s="49">
        <v>4</v>
      </c>
      <c r="H6" s="35" t="s">
        <v>158</v>
      </c>
      <c r="I6" s="35" t="s">
        <v>157</v>
      </c>
      <c r="J6" s="58"/>
      <c r="K6" s="59"/>
      <c r="L6" s="59"/>
      <c r="M6" s="60"/>
      <c r="N6" s="58"/>
      <c r="O6" s="59"/>
      <c r="P6" s="59"/>
      <c r="Q6" s="60"/>
      <c r="R6" s="71"/>
      <c r="T6" s="71"/>
    </row>
    <row r="7" spans="1:21" x14ac:dyDescent="0.2">
      <c r="C7" s="41" t="s">
        <v>130</v>
      </c>
      <c r="D7" s="55">
        <v>3.15</v>
      </c>
      <c r="E7" s="56">
        <v>1.2</v>
      </c>
      <c r="F7" s="48">
        <f t="shared" si="0"/>
        <v>3.78</v>
      </c>
      <c r="G7" s="49">
        <v>4</v>
      </c>
      <c r="H7" s="35" t="s">
        <v>158</v>
      </c>
      <c r="I7" s="35" t="s">
        <v>157</v>
      </c>
      <c r="J7" s="58"/>
      <c r="K7" s="59"/>
      <c r="L7" s="59"/>
      <c r="M7" s="60"/>
      <c r="N7" s="58"/>
      <c r="O7" s="59"/>
      <c r="P7" s="59"/>
      <c r="Q7" s="60"/>
      <c r="R7" s="71"/>
      <c r="T7" s="71"/>
    </row>
    <row r="8" spans="1:21" x14ac:dyDescent="0.2">
      <c r="C8" s="41"/>
      <c r="D8" s="55">
        <v>3.15</v>
      </c>
      <c r="E8" s="56">
        <v>0.55000000000000004</v>
      </c>
      <c r="F8" s="48">
        <f t="shared" si="0"/>
        <v>1.7325000000000002</v>
      </c>
      <c r="G8" s="49">
        <v>4</v>
      </c>
      <c r="H8" s="35" t="s">
        <v>158</v>
      </c>
      <c r="I8" s="35" t="s">
        <v>157</v>
      </c>
      <c r="J8" s="58"/>
      <c r="K8" s="59"/>
      <c r="L8" s="59"/>
      <c r="M8" s="60"/>
      <c r="N8" s="58"/>
      <c r="O8" s="59"/>
      <c r="P8" s="59"/>
      <c r="Q8" s="60"/>
      <c r="R8" s="71"/>
      <c r="T8" s="71"/>
    </row>
    <row r="9" spans="1:21" x14ac:dyDescent="0.2">
      <c r="C9" s="41" t="s">
        <v>131</v>
      </c>
      <c r="D9" s="55">
        <v>7.4</v>
      </c>
      <c r="E9" s="56">
        <v>1.2</v>
      </c>
      <c r="F9" s="48">
        <f t="shared" si="0"/>
        <v>8.8800000000000008</v>
      </c>
      <c r="G9" s="49">
        <v>4</v>
      </c>
      <c r="H9" s="35" t="s">
        <v>158</v>
      </c>
      <c r="I9" s="35" t="s">
        <v>157</v>
      </c>
      <c r="J9" s="58"/>
      <c r="K9" s="59"/>
      <c r="L9" s="59"/>
      <c r="M9" s="60"/>
      <c r="N9" s="58"/>
      <c r="O9" s="59"/>
      <c r="P9" s="59"/>
      <c r="Q9" s="60"/>
      <c r="R9" s="71"/>
      <c r="T9" s="71"/>
    </row>
    <row r="10" spans="1:21" x14ac:dyDescent="0.2">
      <c r="C10" s="41"/>
      <c r="D10" s="55">
        <v>7.4</v>
      </c>
      <c r="E10" s="56">
        <v>0.55000000000000004</v>
      </c>
      <c r="F10" s="48">
        <f t="shared" si="0"/>
        <v>4.07</v>
      </c>
      <c r="G10" s="49">
        <v>4</v>
      </c>
      <c r="H10" s="35" t="s">
        <v>158</v>
      </c>
      <c r="I10" s="35" t="s">
        <v>157</v>
      </c>
      <c r="J10" s="58"/>
      <c r="K10" s="59"/>
      <c r="L10" s="59"/>
      <c r="M10" s="60"/>
      <c r="N10" s="58"/>
      <c r="O10" s="59"/>
      <c r="P10" s="59"/>
      <c r="Q10" s="60"/>
      <c r="R10" s="71"/>
      <c r="T10" s="71"/>
    </row>
    <row r="11" spans="1:21" x14ac:dyDescent="0.2">
      <c r="B11" s="36" t="s">
        <v>136</v>
      </c>
      <c r="C11" s="41" t="s">
        <v>132</v>
      </c>
      <c r="D11" s="55">
        <v>8.6</v>
      </c>
      <c r="E11" s="56">
        <v>1.2</v>
      </c>
      <c r="F11" s="48">
        <f t="shared" si="0"/>
        <v>10.319999999999999</v>
      </c>
      <c r="G11" s="49">
        <v>4</v>
      </c>
      <c r="H11" s="35" t="s">
        <v>158</v>
      </c>
      <c r="I11" s="35" t="s">
        <v>157</v>
      </c>
      <c r="J11" s="58"/>
      <c r="K11" s="59"/>
      <c r="L11" s="59"/>
      <c r="M11" s="60"/>
      <c r="N11" s="58"/>
      <c r="O11" s="59"/>
      <c r="P11" s="59"/>
      <c r="Q11" s="60"/>
      <c r="R11" s="71"/>
      <c r="T11" s="71"/>
    </row>
    <row r="12" spans="1:21" x14ac:dyDescent="0.2">
      <c r="C12" s="41"/>
      <c r="D12" s="55">
        <v>8.6</v>
      </c>
      <c r="E12" s="56">
        <v>0.55000000000000004</v>
      </c>
      <c r="F12" s="48">
        <f t="shared" si="0"/>
        <v>4.7300000000000004</v>
      </c>
      <c r="G12" s="49">
        <v>4</v>
      </c>
      <c r="H12" s="35" t="s">
        <v>158</v>
      </c>
      <c r="I12" s="35" t="s">
        <v>157</v>
      </c>
      <c r="J12" s="58"/>
      <c r="K12" s="59"/>
      <c r="L12" s="59"/>
      <c r="M12" s="60"/>
      <c r="N12" s="58"/>
      <c r="O12" s="59"/>
      <c r="P12" s="59"/>
      <c r="Q12" s="60"/>
      <c r="R12" s="71"/>
      <c r="T12" s="71"/>
    </row>
    <row r="13" spans="1:21" x14ac:dyDescent="0.2">
      <c r="B13" s="36" t="s">
        <v>135</v>
      </c>
      <c r="C13" s="41" t="s">
        <v>133</v>
      </c>
      <c r="D13" s="55">
        <v>15.6</v>
      </c>
      <c r="E13" s="56">
        <v>1.2</v>
      </c>
      <c r="F13" s="48">
        <f t="shared" si="0"/>
        <v>18.72</v>
      </c>
      <c r="G13" s="49">
        <v>4</v>
      </c>
      <c r="H13" s="35" t="s">
        <v>158</v>
      </c>
      <c r="I13" s="35" t="s">
        <v>157</v>
      </c>
      <c r="J13" s="58"/>
      <c r="K13" s="59"/>
      <c r="L13" s="59"/>
      <c r="M13" s="60"/>
      <c r="N13" s="58"/>
      <c r="O13" s="59"/>
      <c r="P13" s="59"/>
      <c r="Q13" s="60"/>
      <c r="R13" s="71"/>
      <c r="T13" s="71"/>
    </row>
    <row r="14" spans="1:21" x14ac:dyDescent="0.2">
      <c r="C14" s="57"/>
      <c r="D14" s="55">
        <v>15.6</v>
      </c>
      <c r="E14" s="56">
        <v>0.55000000000000004</v>
      </c>
      <c r="F14" s="48">
        <f>D14*E14</f>
        <v>8.58</v>
      </c>
      <c r="G14" s="49">
        <v>4</v>
      </c>
      <c r="H14" s="35" t="s">
        <v>158</v>
      </c>
      <c r="I14" s="35" t="s">
        <v>157</v>
      </c>
      <c r="J14" s="58"/>
      <c r="K14" s="59"/>
      <c r="L14" s="59"/>
      <c r="M14" s="60"/>
      <c r="N14" s="58"/>
      <c r="O14" s="59"/>
      <c r="P14" s="59"/>
      <c r="Q14" s="60"/>
      <c r="R14" s="71"/>
      <c r="S14" s="71"/>
      <c r="T14" s="71"/>
      <c r="U14" s="71"/>
    </row>
    <row r="15" spans="1:21" x14ac:dyDescent="0.2">
      <c r="C15" s="41"/>
    </row>
    <row r="16" spans="1:21" x14ac:dyDescent="0.2">
      <c r="A16" s="432" t="s">
        <v>176</v>
      </c>
      <c r="C16" s="41"/>
    </row>
    <row r="17" spans="1:26" x14ac:dyDescent="0.2">
      <c r="B17" s="36" t="s">
        <v>123</v>
      </c>
      <c r="C17" s="352" t="s">
        <v>4</v>
      </c>
      <c r="D17" s="353"/>
      <c r="E17" s="354"/>
      <c r="F17" s="49" t="s">
        <v>126</v>
      </c>
      <c r="G17" s="352" t="s">
        <v>138</v>
      </c>
      <c r="H17" s="354"/>
      <c r="I17" s="352" t="s">
        <v>187</v>
      </c>
      <c r="J17" s="353"/>
      <c r="K17" s="353"/>
      <c r="L17" s="354"/>
      <c r="M17" s="352" t="s">
        <v>188</v>
      </c>
      <c r="N17" s="353"/>
      <c r="O17" s="353"/>
      <c r="P17" s="354"/>
      <c r="Q17" s="352" t="s">
        <v>189</v>
      </c>
      <c r="R17" s="353"/>
      <c r="S17" s="353"/>
      <c r="T17" s="354"/>
      <c r="U17" s="352" t="s">
        <v>190</v>
      </c>
      <c r="V17" s="353"/>
      <c r="W17" s="353"/>
      <c r="X17" s="354"/>
      <c r="Y17" s="352" t="s">
        <v>194</v>
      </c>
      <c r="Z17" s="354"/>
    </row>
    <row r="18" spans="1:26" ht="13.5" thickBot="1" x14ac:dyDescent="0.25">
      <c r="C18" s="147" t="s">
        <v>125</v>
      </c>
      <c r="D18" s="148" t="s">
        <v>141</v>
      </c>
      <c r="E18" s="149" t="s">
        <v>20</v>
      </c>
      <c r="F18" s="49"/>
      <c r="G18" s="150" t="s">
        <v>139</v>
      </c>
      <c r="H18" s="150" t="s">
        <v>140</v>
      </c>
      <c r="I18" s="51" t="s">
        <v>152</v>
      </c>
      <c r="J18" s="44" t="s">
        <v>141</v>
      </c>
      <c r="K18" s="44" t="s">
        <v>20</v>
      </c>
      <c r="L18" s="52" t="s">
        <v>154</v>
      </c>
      <c r="M18" s="51" t="s">
        <v>152</v>
      </c>
      <c r="N18" s="44" t="s">
        <v>141</v>
      </c>
      <c r="O18" s="44" t="s">
        <v>20</v>
      </c>
      <c r="P18" s="52" t="s">
        <v>154</v>
      </c>
      <c r="Q18" s="51" t="s">
        <v>152</v>
      </c>
      <c r="R18" s="44" t="s">
        <v>141</v>
      </c>
      <c r="S18" s="44" t="s">
        <v>20</v>
      </c>
      <c r="T18" s="52" t="s">
        <v>154</v>
      </c>
      <c r="U18" s="51" t="s">
        <v>152</v>
      </c>
      <c r="V18" s="44" t="s">
        <v>141</v>
      </c>
      <c r="W18" s="44" t="s">
        <v>20</v>
      </c>
      <c r="X18" s="52" t="s">
        <v>154</v>
      </c>
      <c r="Y18" s="51" t="s">
        <v>157</v>
      </c>
      <c r="Z18" s="52" t="s">
        <v>195</v>
      </c>
    </row>
    <row r="19" spans="1:26" x14ac:dyDescent="0.2">
      <c r="A19" s="37" t="s">
        <v>14</v>
      </c>
      <c r="B19" s="38" t="s">
        <v>135</v>
      </c>
      <c r="C19" s="151">
        <v>5.54</v>
      </c>
      <c r="D19" s="152">
        <v>15.54</v>
      </c>
      <c r="E19" s="47">
        <f>C19*D19</f>
        <v>86.0916</v>
      </c>
      <c r="F19" s="166">
        <v>4</v>
      </c>
      <c r="G19" s="167" t="s">
        <v>185</v>
      </c>
      <c r="H19" s="165" t="s">
        <v>186</v>
      </c>
      <c r="I19" s="152">
        <v>0.86</v>
      </c>
      <c r="J19" s="152">
        <v>1.73</v>
      </c>
      <c r="K19" s="59">
        <f>I19*J19</f>
        <v>1.4878</v>
      </c>
      <c r="L19" s="59">
        <f>3*4*F19</f>
        <v>48</v>
      </c>
      <c r="M19" s="169">
        <v>0.97</v>
      </c>
      <c r="N19" s="170">
        <v>1.84</v>
      </c>
      <c r="O19" s="170">
        <f>M19*N19</f>
        <v>1.7847999999999999</v>
      </c>
      <c r="P19" s="171">
        <f>2*4*F19</f>
        <v>32</v>
      </c>
      <c r="Q19" s="59">
        <v>0.97</v>
      </c>
      <c r="R19" s="59">
        <v>1.64</v>
      </c>
      <c r="S19" s="59">
        <f>Q19*R19</f>
        <v>1.5907999999999998</v>
      </c>
      <c r="T19" s="59">
        <f>5*3*F19</f>
        <v>60</v>
      </c>
      <c r="U19" s="169">
        <v>0.97</v>
      </c>
      <c r="V19" s="170">
        <v>1.18</v>
      </c>
      <c r="W19" s="170">
        <f>U19*V19</f>
        <v>1.1445999999999998</v>
      </c>
      <c r="X19" s="171">
        <v>10</v>
      </c>
      <c r="Y19" s="178">
        <f>(K19*L19)+(O19*P19)</f>
        <v>128.52799999999999</v>
      </c>
      <c r="Z19" s="60">
        <f>(S19*T19)+(W19*X19)</f>
        <v>106.89399999999998</v>
      </c>
    </row>
    <row r="20" spans="1:26" x14ac:dyDescent="0.2">
      <c r="A20" s="162"/>
      <c r="B20" s="161"/>
      <c r="C20" s="163"/>
      <c r="D20" s="148"/>
      <c r="E20" s="149"/>
      <c r="F20" s="148"/>
      <c r="G20" s="168"/>
      <c r="H20" s="149"/>
      <c r="I20" s="148"/>
      <c r="J20" s="162"/>
      <c r="M20" s="168"/>
      <c r="N20" s="162"/>
      <c r="O20" s="162"/>
      <c r="P20" s="164"/>
      <c r="U20" s="174"/>
      <c r="V20" s="172"/>
      <c r="W20" s="172"/>
      <c r="X20" s="173"/>
      <c r="Y20" s="178"/>
      <c r="Z20" s="60"/>
    </row>
    <row r="21" spans="1:26" x14ac:dyDescent="0.2">
      <c r="A21" s="160" t="s">
        <v>10</v>
      </c>
      <c r="B21" s="161" t="s">
        <v>127</v>
      </c>
      <c r="C21" s="145">
        <v>6.91</v>
      </c>
      <c r="D21" s="146">
        <v>15.54</v>
      </c>
      <c r="E21" s="48">
        <f>C21*D21</f>
        <v>107.3814</v>
      </c>
      <c r="F21" s="162">
        <v>1</v>
      </c>
      <c r="G21" s="147" t="s">
        <v>185</v>
      </c>
      <c r="H21" s="149" t="s">
        <v>186</v>
      </c>
      <c r="I21" s="146">
        <v>0.91</v>
      </c>
      <c r="J21" s="146">
        <v>1.73</v>
      </c>
      <c r="K21" s="59">
        <f>I21*J21</f>
        <v>1.5743</v>
      </c>
      <c r="L21" s="59">
        <f>4*4*F21</f>
        <v>16</v>
      </c>
      <c r="M21" s="58">
        <v>1.02</v>
      </c>
      <c r="N21" s="59">
        <v>1.84</v>
      </c>
      <c r="O21" s="59">
        <f>M21*N21</f>
        <v>1.8768</v>
      </c>
      <c r="P21" s="60">
        <f>2*4*F21</f>
        <v>8</v>
      </c>
      <c r="Q21" s="59">
        <v>1.02</v>
      </c>
      <c r="R21" s="59">
        <v>1.64</v>
      </c>
      <c r="S21" s="59">
        <f>Q21*R21</f>
        <v>1.6727999999999998</v>
      </c>
      <c r="T21" s="59">
        <f>6*3*F21</f>
        <v>18</v>
      </c>
      <c r="U21" s="58">
        <v>1.02</v>
      </c>
      <c r="V21" s="59">
        <v>1.18</v>
      </c>
      <c r="W21" s="59">
        <f>U21*V21</f>
        <v>1.2036</v>
      </c>
      <c r="X21" s="60">
        <v>12</v>
      </c>
      <c r="Y21" s="178">
        <f t="shared" ref="Y21:Y33" si="1">(K21*L21)+(O21*P21)</f>
        <v>40.203200000000002</v>
      </c>
      <c r="Z21" s="60">
        <f t="shared" ref="Z21:Z27" si="2">(S21*T21)+(W21*X21)</f>
        <v>44.553600000000003</v>
      </c>
    </row>
    <row r="22" spans="1:26" x14ac:dyDescent="0.2">
      <c r="A22" s="162"/>
      <c r="B22" s="161"/>
      <c r="C22" s="147"/>
      <c r="D22" s="148"/>
      <c r="E22" s="149"/>
      <c r="F22" s="148"/>
      <c r="G22" s="168"/>
      <c r="H22" s="149"/>
      <c r="I22" s="148"/>
      <c r="J22" s="162"/>
      <c r="M22" s="168"/>
      <c r="N22" s="162"/>
      <c r="O22" s="162"/>
      <c r="P22" s="164"/>
      <c r="U22" s="174"/>
      <c r="V22" s="172"/>
      <c r="W22" s="172"/>
      <c r="X22" s="173"/>
      <c r="Y22" s="178"/>
      <c r="Z22" s="60"/>
    </row>
    <row r="23" spans="1:26" x14ac:dyDescent="0.2">
      <c r="A23" s="160" t="s">
        <v>0</v>
      </c>
      <c r="B23" s="161" t="s">
        <v>127</v>
      </c>
      <c r="C23" s="145">
        <v>6.75</v>
      </c>
      <c r="D23" s="146">
        <v>15.54</v>
      </c>
      <c r="E23" s="48">
        <f>C23*D23</f>
        <v>104.895</v>
      </c>
      <c r="F23" s="162">
        <v>2</v>
      </c>
      <c r="G23" s="147" t="s">
        <v>185</v>
      </c>
      <c r="H23" s="149" t="s">
        <v>186</v>
      </c>
      <c r="I23" s="146">
        <v>0.86</v>
      </c>
      <c r="J23" s="146">
        <v>1.73</v>
      </c>
      <c r="K23" s="59">
        <f>I23*J23</f>
        <v>1.4878</v>
      </c>
      <c r="L23" s="59">
        <f>4*4*F23</f>
        <v>32</v>
      </c>
      <c r="M23" s="58">
        <v>0.97</v>
      </c>
      <c r="N23" s="59">
        <v>1.84</v>
      </c>
      <c r="O23" s="59">
        <f>M23*N23</f>
        <v>1.7847999999999999</v>
      </c>
      <c r="P23" s="60">
        <f>2*4*F23</f>
        <v>16</v>
      </c>
      <c r="Q23" s="59">
        <v>0.97</v>
      </c>
      <c r="R23" s="59">
        <v>1.64</v>
      </c>
      <c r="S23" s="59">
        <f>Q23*R23</f>
        <v>1.5907999999999998</v>
      </c>
      <c r="T23" s="59">
        <f>6*3*F23</f>
        <v>36</v>
      </c>
      <c r="U23" s="58">
        <v>0.97</v>
      </c>
      <c r="V23" s="59">
        <v>1.18</v>
      </c>
      <c r="W23" s="59">
        <f>U23*V23</f>
        <v>1.1445999999999998</v>
      </c>
      <c r="X23" s="60">
        <v>12</v>
      </c>
      <c r="Y23" s="178">
        <f t="shared" si="1"/>
        <v>76.166399999999996</v>
      </c>
      <c r="Z23" s="60">
        <f t="shared" si="2"/>
        <v>71.003999999999991</v>
      </c>
    </row>
    <row r="24" spans="1:26" x14ac:dyDescent="0.2">
      <c r="A24" s="162"/>
      <c r="B24" s="161"/>
      <c r="C24" s="147"/>
      <c r="D24" s="148"/>
      <c r="E24" s="149"/>
      <c r="F24" s="148"/>
      <c r="G24" s="168"/>
      <c r="H24" s="149"/>
      <c r="I24" s="148"/>
      <c r="J24" s="162"/>
      <c r="M24" s="168"/>
      <c r="N24" s="162"/>
      <c r="O24" s="162"/>
      <c r="P24" s="164"/>
      <c r="U24" s="174"/>
      <c r="V24" s="172"/>
      <c r="W24" s="172"/>
      <c r="X24" s="173"/>
      <c r="Y24" s="178"/>
      <c r="Z24" s="60"/>
    </row>
    <row r="25" spans="1:26" x14ac:dyDescent="0.2">
      <c r="A25" s="160" t="s">
        <v>1</v>
      </c>
      <c r="B25" s="161" t="s">
        <v>134</v>
      </c>
      <c r="C25" s="145">
        <v>5.54</v>
      </c>
      <c r="D25" s="146">
        <v>15.54</v>
      </c>
      <c r="E25" s="48">
        <f>C25*D25</f>
        <v>86.0916</v>
      </c>
      <c r="F25" s="162">
        <v>1</v>
      </c>
      <c r="G25" s="147" t="s">
        <v>185</v>
      </c>
      <c r="H25" s="149" t="s">
        <v>186</v>
      </c>
      <c r="I25" s="146">
        <v>0.86</v>
      </c>
      <c r="J25" s="146">
        <v>1.73</v>
      </c>
      <c r="K25" s="59">
        <f>I25*J25</f>
        <v>1.4878</v>
      </c>
      <c r="L25" s="59">
        <f>3*4*F25</f>
        <v>12</v>
      </c>
      <c r="M25" s="58">
        <v>0.97</v>
      </c>
      <c r="N25" s="59">
        <v>1.84</v>
      </c>
      <c r="O25" s="59">
        <f>M25*N25</f>
        <v>1.7847999999999999</v>
      </c>
      <c r="P25" s="60">
        <f>2*4*F25</f>
        <v>8</v>
      </c>
      <c r="Q25" s="59">
        <v>0.97</v>
      </c>
      <c r="R25" s="59">
        <v>1.64</v>
      </c>
      <c r="S25" s="59">
        <f>Q25*R25</f>
        <v>1.5907999999999998</v>
      </c>
      <c r="T25" s="59">
        <f>5*3*F25</f>
        <v>15</v>
      </c>
      <c r="U25" s="58">
        <v>0.97</v>
      </c>
      <c r="V25" s="59">
        <v>1.18</v>
      </c>
      <c r="W25" s="59">
        <f>U25*V25</f>
        <v>1.1445999999999998</v>
      </c>
      <c r="X25" s="60">
        <v>10</v>
      </c>
      <c r="Y25" s="178">
        <f t="shared" si="1"/>
        <v>32.131999999999998</v>
      </c>
      <c r="Z25" s="60">
        <f t="shared" si="2"/>
        <v>35.307999999999993</v>
      </c>
    </row>
    <row r="26" spans="1:26" x14ac:dyDescent="0.2">
      <c r="A26" s="162"/>
      <c r="B26" s="161"/>
      <c r="C26" s="147"/>
      <c r="D26" s="148"/>
      <c r="E26" s="149"/>
      <c r="F26" s="148"/>
      <c r="G26" s="168"/>
      <c r="H26" s="149"/>
      <c r="I26" s="148"/>
      <c r="J26" s="162"/>
      <c r="M26" s="168"/>
      <c r="N26" s="162"/>
      <c r="O26" s="162"/>
      <c r="P26" s="164"/>
      <c r="U26" s="174"/>
      <c r="V26" s="172"/>
      <c r="W26" s="172"/>
      <c r="X26" s="173"/>
      <c r="Y26" s="178"/>
      <c r="Z26" s="60"/>
    </row>
    <row r="27" spans="1:26" x14ac:dyDescent="0.2">
      <c r="A27" s="160" t="s">
        <v>2</v>
      </c>
      <c r="B27" s="161" t="s">
        <v>134</v>
      </c>
      <c r="C27" s="145">
        <v>5.54</v>
      </c>
      <c r="D27" s="146">
        <v>15.54</v>
      </c>
      <c r="E27" s="48">
        <f>C27*D27</f>
        <v>86.0916</v>
      </c>
      <c r="F27" s="162">
        <v>1</v>
      </c>
      <c r="G27" s="147" t="s">
        <v>185</v>
      </c>
      <c r="H27" s="149" t="s">
        <v>186</v>
      </c>
      <c r="I27" s="146">
        <v>0.86</v>
      </c>
      <c r="J27" s="146">
        <v>1.73</v>
      </c>
      <c r="K27" s="59">
        <f>I27*J27</f>
        <v>1.4878</v>
      </c>
      <c r="L27" s="59">
        <f>5*4*F27</f>
        <v>20</v>
      </c>
      <c r="M27" s="176" t="s">
        <v>193</v>
      </c>
      <c r="N27" s="175" t="s">
        <v>193</v>
      </c>
      <c r="O27" s="175" t="s">
        <v>193</v>
      </c>
      <c r="P27" s="177" t="s">
        <v>193</v>
      </c>
      <c r="Q27" s="59">
        <v>0.97</v>
      </c>
      <c r="R27" s="59">
        <v>1.64</v>
      </c>
      <c r="S27" s="59">
        <f>Q27*R27</f>
        <v>1.5907999999999998</v>
      </c>
      <c r="T27" s="59">
        <f>5*3*F27</f>
        <v>15</v>
      </c>
      <c r="U27" s="58">
        <v>0.97</v>
      </c>
      <c r="V27" s="59">
        <v>1.18</v>
      </c>
      <c r="W27" s="59">
        <f>U27*V27</f>
        <v>1.1445999999999998</v>
      </c>
      <c r="X27" s="60">
        <v>10</v>
      </c>
      <c r="Y27" s="178">
        <f>(K27*L27)</f>
        <v>29.756</v>
      </c>
      <c r="Z27" s="60">
        <f t="shared" si="2"/>
        <v>35.307999999999993</v>
      </c>
    </row>
    <row r="28" spans="1:26" x14ac:dyDescent="0.2">
      <c r="A28" s="162"/>
      <c r="B28" s="161"/>
      <c r="C28" s="147"/>
      <c r="D28" s="148"/>
      <c r="E28" s="149"/>
      <c r="F28" s="148"/>
      <c r="G28" s="168"/>
      <c r="H28" s="149"/>
      <c r="I28" s="148"/>
      <c r="J28" s="162"/>
      <c r="M28" s="168"/>
      <c r="N28" s="162"/>
      <c r="O28" s="162"/>
      <c r="P28" s="164"/>
      <c r="U28" s="174"/>
      <c r="V28" s="172"/>
      <c r="W28" s="172"/>
      <c r="X28" s="173"/>
      <c r="Y28" s="178"/>
      <c r="Z28" s="60"/>
    </row>
    <row r="29" spans="1:26" x14ac:dyDescent="0.2">
      <c r="A29" s="160" t="s">
        <v>191</v>
      </c>
      <c r="B29" s="161" t="s">
        <v>134</v>
      </c>
      <c r="C29" s="145">
        <v>5.73</v>
      </c>
      <c r="D29" s="146">
        <v>19.489999999999998</v>
      </c>
      <c r="E29" s="48">
        <f>C29*D29</f>
        <v>111.6777</v>
      </c>
      <c r="F29" s="162">
        <v>1</v>
      </c>
      <c r="G29" s="147" t="s">
        <v>185</v>
      </c>
      <c r="H29" s="149" t="s">
        <v>186</v>
      </c>
      <c r="I29" s="175" t="s">
        <v>193</v>
      </c>
      <c r="J29" s="175" t="s">
        <v>193</v>
      </c>
      <c r="K29" s="175" t="s">
        <v>193</v>
      </c>
      <c r="L29" s="175" t="s">
        <v>193</v>
      </c>
      <c r="M29" s="58">
        <v>1.02</v>
      </c>
      <c r="N29" s="59">
        <v>1.84</v>
      </c>
      <c r="O29" s="59">
        <f>M29*N29</f>
        <v>1.8768</v>
      </c>
      <c r="P29" s="60">
        <f>5*5*F29</f>
        <v>25</v>
      </c>
      <c r="Q29" s="59">
        <v>1.02</v>
      </c>
      <c r="R29" s="59">
        <v>1.64</v>
      </c>
      <c r="S29" s="59">
        <f>Q29*R29</f>
        <v>1.6727999999999998</v>
      </c>
      <c r="T29" s="59">
        <f>5*3*F29</f>
        <v>15</v>
      </c>
      <c r="U29" s="58">
        <v>1.02</v>
      </c>
      <c r="V29" s="59">
        <v>1.18</v>
      </c>
      <c r="W29" s="59">
        <f t="shared" ref="W29:W34" si="3">U29*V29</f>
        <v>1.2036</v>
      </c>
      <c r="X29" s="60">
        <v>10</v>
      </c>
      <c r="Y29" s="178">
        <f>(O29*P29)</f>
        <v>46.92</v>
      </c>
      <c r="Z29" s="60">
        <f>(S29*T29)+(W29*X29)+(W30*X30)</f>
        <v>47.021999999999998</v>
      </c>
    </row>
    <row r="30" spans="1:26" x14ac:dyDescent="0.2">
      <c r="A30" s="162"/>
      <c r="B30" s="161"/>
      <c r="C30" s="147"/>
      <c r="D30" s="148"/>
      <c r="E30" s="149"/>
      <c r="F30" s="148"/>
      <c r="G30" s="168"/>
      <c r="H30" s="149"/>
      <c r="I30" s="148"/>
      <c r="J30" s="162"/>
      <c r="M30" s="168"/>
      <c r="N30" s="162"/>
      <c r="O30" s="162"/>
      <c r="P30" s="164"/>
      <c r="U30" s="58">
        <v>1.02</v>
      </c>
      <c r="V30" s="172">
        <v>1.94</v>
      </c>
      <c r="W30" s="59">
        <f t="shared" si="3"/>
        <v>1.9787999999999999</v>
      </c>
      <c r="X30" s="60">
        <v>5</v>
      </c>
      <c r="Y30" s="178"/>
      <c r="Z30" s="60"/>
    </row>
    <row r="31" spans="1:26" x14ac:dyDescent="0.2">
      <c r="A31" s="160" t="s">
        <v>67</v>
      </c>
      <c r="B31" s="161" t="s">
        <v>134</v>
      </c>
      <c r="C31" s="145">
        <v>5.73</v>
      </c>
      <c r="D31" s="146">
        <v>19.489999999999998</v>
      </c>
      <c r="E31" s="48">
        <f>C31*D31</f>
        <v>111.6777</v>
      </c>
      <c r="F31" s="162">
        <v>1</v>
      </c>
      <c r="G31" s="147" t="s">
        <v>185</v>
      </c>
      <c r="H31" s="149" t="s">
        <v>186</v>
      </c>
      <c r="I31" s="146">
        <v>0.89</v>
      </c>
      <c r="J31" s="146">
        <v>1.73</v>
      </c>
      <c r="K31" s="59">
        <f>I31*J31</f>
        <v>1.5397000000000001</v>
      </c>
      <c r="L31" s="59">
        <f>5*5*F31</f>
        <v>25</v>
      </c>
      <c r="M31" s="176" t="s">
        <v>193</v>
      </c>
      <c r="N31" s="175" t="s">
        <v>193</v>
      </c>
      <c r="O31" s="175" t="s">
        <v>193</v>
      </c>
      <c r="P31" s="177" t="s">
        <v>193</v>
      </c>
      <c r="Q31" s="59">
        <v>1.02</v>
      </c>
      <c r="R31" s="59">
        <v>1.64</v>
      </c>
      <c r="S31" s="59">
        <f>Q31*R31</f>
        <v>1.6727999999999998</v>
      </c>
      <c r="T31" s="59">
        <f>5*3*F31</f>
        <v>15</v>
      </c>
      <c r="U31" s="58">
        <v>1.02</v>
      </c>
      <c r="V31" s="59">
        <v>1.18</v>
      </c>
      <c r="W31" s="59">
        <f t="shared" si="3"/>
        <v>1.2036</v>
      </c>
      <c r="X31" s="60">
        <v>10</v>
      </c>
      <c r="Y31" s="178">
        <f>(K31*L31)</f>
        <v>38.4925</v>
      </c>
      <c r="Z31" s="60">
        <f>(S31*T31)+(W31*X31)+(W32*X32)</f>
        <v>47.021999999999998</v>
      </c>
    </row>
    <row r="32" spans="1:26" x14ac:dyDescent="0.2">
      <c r="A32" s="162"/>
      <c r="B32" s="161"/>
      <c r="C32" s="147"/>
      <c r="D32" s="148"/>
      <c r="E32" s="149"/>
      <c r="F32" s="148"/>
      <c r="G32" s="168"/>
      <c r="H32" s="149"/>
      <c r="I32" s="148"/>
      <c r="J32" s="162"/>
      <c r="M32" s="168"/>
      <c r="N32" s="162"/>
      <c r="O32" s="162"/>
      <c r="P32" s="164"/>
      <c r="U32" s="58">
        <v>1.02</v>
      </c>
      <c r="V32" s="172">
        <v>1.94</v>
      </c>
      <c r="W32" s="59">
        <f t="shared" si="3"/>
        <v>1.9787999999999999</v>
      </c>
      <c r="X32" s="60">
        <v>5</v>
      </c>
      <c r="Y32" s="178"/>
      <c r="Z32" s="60"/>
    </row>
    <row r="33" spans="1:26" x14ac:dyDescent="0.2">
      <c r="A33" s="160" t="s">
        <v>192</v>
      </c>
      <c r="B33" s="161" t="s">
        <v>134</v>
      </c>
      <c r="C33" s="145">
        <v>5.73</v>
      </c>
      <c r="D33" s="146">
        <v>19.489999999999998</v>
      </c>
      <c r="E33" s="48">
        <f>C33*D33</f>
        <v>111.6777</v>
      </c>
      <c r="F33" s="162">
        <v>1</v>
      </c>
      <c r="G33" s="147" t="s">
        <v>185</v>
      </c>
      <c r="H33" s="149" t="s">
        <v>186</v>
      </c>
      <c r="I33" s="146">
        <v>0.89</v>
      </c>
      <c r="J33" s="146">
        <v>1.73</v>
      </c>
      <c r="K33" s="59">
        <f>I33*J33</f>
        <v>1.5397000000000001</v>
      </c>
      <c r="L33" s="59">
        <f>2*4*F33</f>
        <v>8</v>
      </c>
      <c r="M33" s="58">
        <v>1.02</v>
      </c>
      <c r="N33" s="59">
        <v>1.84</v>
      </c>
      <c r="O33" s="59">
        <f>M33*N33</f>
        <v>1.8768</v>
      </c>
      <c r="P33" s="60">
        <f>3*4*F33</f>
        <v>12</v>
      </c>
      <c r="Q33" s="59">
        <v>1.02</v>
      </c>
      <c r="R33" s="59">
        <v>1.64</v>
      </c>
      <c r="S33" s="59">
        <f>Q33*R33</f>
        <v>1.6727999999999998</v>
      </c>
      <c r="T33" s="59">
        <f>5*3*F33</f>
        <v>15</v>
      </c>
      <c r="U33" s="58">
        <v>1.02</v>
      </c>
      <c r="V33" s="59">
        <v>1.18</v>
      </c>
      <c r="W33" s="59">
        <f t="shared" si="3"/>
        <v>1.2036</v>
      </c>
      <c r="X33" s="60">
        <v>10</v>
      </c>
      <c r="Y33" s="178">
        <f t="shared" si="1"/>
        <v>34.839199999999998</v>
      </c>
      <c r="Z33" s="60">
        <f>(S33*T33)+(W33*X33)+(W34*X34)</f>
        <v>47.021999999999998</v>
      </c>
    </row>
    <row r="34" spans="1:26" x14ac:dyDescent="0.2">
      <c r="U34" s="58">
        <v>1.02</v>
      </c>
      <c r="V34" s="172">
        <v>1.94</v>
      </c>
      <c r="W34" s="59">
        <f t="shared" si="3"/>
        <v>1.9787999999999999</v>
      </c>
      <c r="X34" s="60">
        <v>5</v>
      </c>
      <c r="Y34" s="178"/>
      <c r="Z34" s="60"/>
    </row>
    <row r="36" spans="1:26" x14ac:dyDescent="0.2">
      <c r="Y36" s="178"/>
      <c r="Z36" s="178"/>
    </row>
  </sheetData>
  <mergeCells count="11">
    <mergeCell ref="N2:Q2"/>
    <mergeCell ref="U17:X17"/>
    <mergeCell ref="Y17:Z17"/>
    <mergeCell ref="C17:E17"/>
    <mergeCell ref="G17:H17"/>
    <mergeCell ref="I17:L17"/>
    <mergeCell ref="M17:P17"/>
    <mergeCell ref="Q17:T17"/>
    <mergeCell ref="D2:F2"/>
    <mergeCell ref="H2:I2"/>
    <mergeCell ref="J2:M2"/>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ABFB9-D032-4492-973A-9529E77081C9}">
  <dimension ref="A1:T62"/>
  <sheetViews>
    <sheetView view="pageBreakPreview" zoomScaleNormal="100" zoomScaleSheetLayoutView="100" workbookViewId="0">
      <selection activeCell="C89" sqref="C89"/>
    </sheetView>
  </sheetViews>
  <sheetFormatPr defaultColWidth="10" defaultRowHeight="12.75" x14ac:dyDescent="0.2"/>
  <cols>
    <col min="1" max="1" width="4.5703125" style="302" customWidth="1"/>
    <col min="2" max="2" width="16.85546875" style="303" bestFit="1" customWidth="1"/>
    <col min="3" max="3" width="68" style="291" customWidth="1"/>
    <col min="4" max="4" width="6.7109375" style="304" bestFit="1" customWidth="1"/>
    <col min="5" max="5" width="11.28515625" style="301" customWidth="1"/>
    <col min="6" max="6" width="1.7109375" style="278" customWidth="1"/>
    <col min="7" max="13" width="15.7109375" style="279" customWidth="1"/>
    <col min="14" max="14" width="15.7109375" style="280" customWidth="1"/>
    <col min="15" max="16" width="10" style="280"/>
    <col min="17" max="16384" width="10" style="278"/>
  </cols>
  <sheetData>
    <row r="1" spans="1:16" s="247" customFormat="1" ht="13.5" thickBot="1" x14ac:dyDescent="0.25">
      <c r="A1" s="245" t="s">
        <v>48</v>
      </c>
      <c r="B1" s="245" t="s">
        <v>18</v>
      </c>
      <c r="C1" s="245" t="s">
        <v>5</v>
      </c>
      <c r="D1" s="246"/>
      <c r="E1" s="366" t="s">
        <v>8</v>
      </c>
      <c r="G1" s="248"/>
      <c r="H1" s="248"/>
      <c r="I1" s="248"/>
      <c r="J1" s="248"/>
      <c r="K1" s="248"/>
      <c r="L1" s="248"/>
      <c r="M1" s="248"/>
      <c r="N1" s="249"/>
      <c r="O1" s="249"/>
      <c r="P1" s="249"/>
    </row>
    <row r="2" spans="1:16" s="253" customFormat="1" x14ac:dyDescent="0.2">
      <c r="A2" s="250"/>
      <c r="B2" s="250" t="s">
        <v>14</v>
      </c>
      <c r="C2" s="251" t="s">
        <v>10</v>
      </c>
      <c r="D2" s="252" t="s">
        <v>0</v>
      </c>
      <c r="E2" s="367" t="s">
        <v>2</v>
      </c>
      <c r="G2" s="248"/>
      <c r="H2" s="248"/>
      <c r="I2" s="248"/>
      <c r="J2" s="248"/>
      <c r="K2" s="248"/>
      <c r="L2" s="248"/>
      <c r="M2" s="248"/>
      <c r="N2" s="254"/>
      <c r="O2" s="254"/>
      <c r="P2" s="254"/>
    </row>
    <row r="3" spans="1:16" s="258" customFormat="1" ht="13.5" thickBot="1" x14ac:dyDescent="0.25">
      <c r="A3" s="255"/>
      <c r="B3" s="255" t="s">
        <v>11</v>
      </c>
      <c r="C3" s="256"/>
      <c r="D3" s="257" t="s">
        <v>3</v>
      </c>
      <c r="E3" s="365" t="s">
        <v>7</v>
      </c>
      <c r="G3" s="259"/>
      <c r="H3" s="259"/>
      <c r="I3" s="259"/>
      <c r="J3" s="259"/>
      <c r="K3" s="259"/>
      <c r="L3" s="259"/>
      <c r="M3" s="259"/>
      <c r="N3" s="260"/>
      <c r="O3" s="260"/>
      <c r="P3" s="260"/>
    </row>
    <row r="4" spans="1:16" s="258" customFormat="1" ht="13.5" thickBot="1" x14ac:dyDescent="0.25">
      <c r="A4" s="260"/>
      <c r="B4" s="261"/>
      <c r="C4" s="254"/>
      <c r="D4" s="262"/>
      <c r="E4" s="263"/>
      <c r="G4" s="260"/>
      <c r="H4" s="260"/>
      <c r="I4" s="260"/>
      <c r="J4" s="260"/>
      <c r="K4" s="260"/>
      <c r="L4" s="260"/>
      <c r="M4" s="260"/>
      <c r="N4" s="260"/>
      <c r="O4" s="260"/>
      <c r="P4" s="260"/>
    </row>
    <row r="5" spans="1:16" s="270" customFormat="1" x14ac:dyDescent="0.2">
      <c r="A5" s="264"/>
      <c r="B5" s="265"/>
      <c r="C5" s="266" t="s">
        <v>16</v>
      </c>
      <c r="D5" s="267"/>
      <c r="E5" s="360"/>
      <c r="F5" s="258"/>
      <c r="G5" s="259"/>
      <c r="H5" s="259"/>
      <c r="I5" s="259"/>
      <c r="J5" s="259"/>
      <c r="K5" s="268"/>
      <c r="L5" s="268"/>
      <c r="M5" s="268"/>
      <c r="N5" s="269"/>
      <c r="O5" s="269"/>
      <c r="P5" s="269"/>
    </row>
    <row r="6" spans="1:16" s="270" customFormat="1" x14ac:dyDescent="0.2">
      <c r="A6" s="271"/>
      <c r="B6" s="272"/>
      <c r="C6" s="273" t="s">
        <v>17</v>
      </c>
      <c r="D6" s="274"/>
      <c r="E6" s="361"/>
      <c r="F6" s="258"/>
      <c r="G6" s="259"/>
      <c r="H6" s="259"/>
      <c r="I6" s="259"/>
      <c r="J6" s="259"/>
      <c r="K6" s="268"/>
      <c r="L6" s="268"/>
      <c r="M6" s="268"/>
      <c r="N6" s="269"/>
      <c r="O6" s="269"/>
      <c r="P6" s="269"/>
    </row>
    <row r="7" spans="1:16" s="270" customFormat="1" x14ac:dyDescent="0.2">
      <c r="A7" s="271"/>
      <c r="B7" s="272"/>
      <c r="C7" s="275" t="s">
        <v>107</v>
      </c>
      <c r="D7" s="274"/>
      <c r="E7" s="361"/>
      <c r="F7" s="258"/>
      <c r="G7" s="259"/>
      <c r="H7" s="259"/>
      <c r="I7" s="259"/>
      <c r="J7" s="259"/>
      <c r="K7" s="268"/>
      <c r="L7" s="268"/>
      <c r="M7" s="268"/>
      <c r="N7" s="269"/>
      <c r="O7" s="269"/>
      <c r="P7" s="269"/>
    </row>
    <row r="8" spans="1:16" s="270" customFormat="1" x14ac:dyDescent="0.2">
      <c r="A8" s="271"/>
      <c r="B8" s="272"/>
      <c r="C8" s="275" t="s">
        <v>106</v>
      </c>
      <c r="D8" s="274"/>
      <c r="E8" s="361"/>
      <c r="F8" s="258"/>
      <c r="G8" s="259"/>
      <c r="H8" s="259"/>
      <c r="I8" s="259"/>
      <c r="J8" s="259"/>
      <c r="K8" s="268"/>
      <c r="L8" s="268"/>
      <c r="M8" s="268"/>
      <c r="N8" s="269"/>
      <c r="O8" s="269"/>
      <c r="P8" s="269"/>
    </row>
    <row r="9" spans="1:16" s="270" customFormat="1" x14ac:dyDescent="0.2">
      <c r="A9" s="271"/>
      <c r="B9" s="272"/>
      <c r="C9" s="275" t="s">
        <v>108</v>
      </c>
      <c r="D9" s="274"/>
      <c r="E9" s="361"/>
      <c r="F9" s="258"/>
      <c r="G9" s="259"/>
      <c r="H9" s="259"/>
      <c r="I9" s="259"/>
      <c r="J9" s="259"/>
      <c r="K9" s="268"/>
      <c r="L9" s="268"/>
      <c r="M9" s="268"/>
      <c r="N9" s="269"/>
      <c r="O9" s="269"/>
      <c r="P9" s="269"/>
    </row>
    <row r="10" spans="1:16" s="270" customFormat="1" x14ac:dyDescent="0.2">
      <c r="A10" s="271"/>
      <c r="B10" s="272"/>
      <c r="C10" s="275" t="s">
        <v>244</v>
      </c>
      <c r="D10" s="274"/>
      <c r="E10" s="361"/>
      <c r="F10" s="258"/>
      <c r="G10" s="259"/>
      <c r="H10" s="259"/>
      <c r="I10" s="259"/>
      <c r="J10" s="259"/>
      <c r="K10" s="268"/>
      <c r="L10" s="268"/>
      <c r="M10" s="268"/>
      <c r="N10" s="269"/>
      <c r="O10" s="269"/>
      <c r="P10" s="269"/>
    </row>
    <row r="11" spans="1:16" s="270" customFormat="1" x14ac:dyDescent="0.2">
      <c r="A11" s="356"/>
      <c r="B11" s="368"/>
      <c r="C11" s="369" t="s">
        <v>109</v>
      </c>
      <c r="D11" s="359"/>
      <c r="E11" s="370"/>
      <c r="F11" s="258"/>
      <c r="G11" s="259"/>
      <c r="H11" s="259"/>
      <c r="I11" s="259"/>
      <c r="J11" s="259"/>
      <c r="K11" s="268"/>
      <c r="L11" s="268"/>
      <c r="M11" s="268"/>
      <c r="N11" s="269"/>
      <c r="O11" s="269"/>
      <c r="P11" s="269"/>
    </row>
    <row r="12" spans="1:16" s="270" customFormat="1" x14ac:dyDescent="0.2">
      <c r="A12" s="271"/>
      <c r="B12" s="276"/>
      <c r="C12" s="10"/>
      <c r="D12" s="277"/>
      <c r="E12" s="362"/>
      <c r="G12" s="268"/>
      <c r="H12" s="268"/>
      <c r="I12" s="268"/>
      <c r="J12" s="268"/>
      <c r="K12" s="268"/>
      <c r="L12" s="268"/>
      <c r="M12" s="268"/>
      <c r="N12" s="269"/>
      <c r="O12" s="269"/>
      <c r="P12" s="269"/>
    </row>
    <row r="13" spans="1:16" s="270" customFormat="1" ht="71.25" customHeight="1" x14ac:dyDescent="0.2">
      <c r="A13" s="271" t="s">
        <v>243</v>
      </c>
      <c r="B13" s="281" t="s">
        <v>201</v>
      </c>
      <c r="C13" s="10" t="s">
        <v>205</v>
      </c>
      <c r="D13" s="282" t="s">
        <v>202</v>
      </c>
      <c r="E13" s="362">
        <v>150</v>
      </c>
      <c r="G13" s="268"/>
      <c r="H13" s="268"/>
      <c r="I13" s="268"/>
      <c r="J13" s="268"/>
      <c r="K13" s="268"/>
      <c r="L13" s="268"/>
      <c r="M13" s="268"/>
      <c r="N13" s="269"/>
      <c r="O13" s="269"/>
      <c r="P13" s="269"/>
    </row>
    <row r="14" spans="1:16" s="270" customFormat="1" ht="86.25" customHeight="1" x14ac:dyDescent="0.2">
      <c r="A14" s="271" t="s">
        <v>243</v>
      </c>
      <c r="B14" s="281" t="s">
        <v>203</v>
      </c>
      <c r="C14" s="283" t="s">
        <v>204</v>
      </c>
      <c r="D14" s="282" t="s">
        <v>202</v>
      </c>
      <c r="E14" s="362">
        <v>18.98</v>
      </c>
      <c r="G14" s="268"/>
      <c r="H14" s="268"/>
      <c r="I14" s="268"/>
      <c r="J14" s="268"/>
      <c r="K14" s="268"/>
      <c r="L14" s="268"/>
      <c r="M14" s="268"/>
      <c r="N14" s="269"/>
      <c r="O14" s="269"/>
      <c r="P14" s="269"/>
    </row>
    <row r="15" spans="1:16" s="270" customFormat="1" ht="147.75" customHeight="1" x14ac:dyDescent="0.2">
      <c r="A15" s="271" t="s">
        <v>243</v>
      </c>
      <c r="B15" s="281" t="s">
        <v>206</v>
      </c>
      <c r="C15" s="283" t="s">
        <v>207</v>
      </c>
      <c r="D15" s="282" t="s">
        <v>20</v>
      </c>
      <c r="E15" s="362">
        <v>1.8</v>
      </c>
      <c r="G15" s="268"/>
      <c r="H15" s="268"/>
      <c r="I15" s="268"/>
      <c r="J15" s="268"/>
      <c r="K15" s="268"/>
      <c r="L15" s="268"/>
      <c r="M15" s="268"/>
      <c r="N15" s="269"/>
      <c r="O15" s="269"/>
      <c r="P15" s="269"/>
    </row>
    <row r="16" spans="1:16" s="270" customFormat="1" ht="134.25" customHeight="1" x14ac:dyDescent="0.2">
      <c r="A16" s="271" t="s">
        <v>243</v>
      </c>
      <c r="B16" s="281" t="s">
        <v>208</v>
      </c>
      <c r="C16" s="283" t="s">
        <v>209</v>
      </c>
      <c r="D16" s="282" t="s">
        <v>213</v>
      </c>
      <c r="E16" s="362">
        <v>3.52</v>
      </c>
      <c r="G16" s="268"/>
      <c r="H16" s="268"/>
      <c r="I16" s="268"/>
      <c r="J16" s="268"/>
      <c r="K16" s="268"/>
      <c r="L16" s="268"/>
      <c r="M16" s="268"/>
      <c r="N16" s="269"/>
      <c r="O16" s="269"/>
      <c r="P16" s="269"/>
    </row>
    <row r="17" spans="1:20" s="270" customFormat="1" ht="99.75" customHeight="1" x14ac:dyDescent="0.2">
      <c r="A17" s="271" t="s">
        <v>243</v>
      </c>
      <c r="B17" s="281" t="s">
        <v>210</v>
      </c>
      <c r="C17" s="283" t="s">
        <v>211</v>
      </c>
      <c r="D17" s="431" t="s">
        <v>202</v>
      </c>
      <c r="E17" s="362">
        <v>3.2</v>
      </c>
      <c r="G17" s="268"/>
      <c r="H17" s="268"/>
      <c r="I17" s="268"/>
      <c r="J17" s="268"/>
      <c r="K17" s="268"/>
      <c r="L17" s="268"/>
      <c r="M17" s="268"/>
      <c r="N17" s="269"/>
      <c r="O17" s="269"/>
      <c r="P17" s="269"/>
    </row>
    <row r="18" spans="1:20" s="286" customFormat="1" ht="72" customHeight="1" x14ac:dyDescent="0.2">
      <c r="A18" s="271" t="s">
        <v>50</v>
      </c>
      <c r="B18" s="284" t="s">
        <v>40</v>
      </c>
      <c r="C18" s="273" t="s">
        <v>285</v>
      </c>
      <c r="D18" s="277" t="s">
        <v>42</v>
      </c>
      <c r="E18" s="362">
        <v>4.45</v>
      </c>
      <c r="F18" s="285"/>
      <c r="G18" s="268"/>
      <c r="H18" s="268"/>
      <c r="I18" s="248"/>
      <c r="J18" s="248"/>
      <c r="K18" s="268"/>
      <c r="L18" s="268"/>
      <c r="M18" s="268"/>
      <c r="N18" s="269"/>
      <c r="O18" s="269"/>
      <c r="P18" s="269"/>
    </row>
    <row r="19" spans="1:20" s="286" customFormat="1" ht="71.25" customHeight="1" x14ac:dyDescent="0.2">
      <c r="A19" s="271" t="s">
        <v>50</v>
      </c>
      <c r="B19" s="284" t="s">
        <v>43</v>
      </c>
      <c r="C19" s="273" t="s">
        <v>286</v>
      </c>
      <c r="D19" s="277" t="s">
        <v>42</v>
      </c>
      <c r="E19" s="362">
        <v>3</v>
      </c>
      <c r="F19" s="285"/>
      <c r="G19" s="268"/>
      <c r="H19" s="268"/>
      <c r="I19" s="248"/>
      <c r="J19" s="248"/>
      <c r="K19" s="268"/>
      <c r="L19" s="268"/>
      <c r="M19" s="268"/>
      <c r="N19" s="269"/>
      <c r="O19" s="269"/>
      <c r="P19" s="269"/>
    </row>
    <row r="20" spans="1:20" s="291" customFormat="1" ht="71.25" customHeight="1" x14ac:dyDescent="0.2">
      <c r="A20" s="271" t="s">
        <v>50</v>
      </c>
      <c r="B20" s="284" t="s">
        <v>45</v>
      </c>
      <c r="C20" s="273" t="s">
        <v>292</v>
      </c>
      <c r="D20" s="277" t="s">
        <v>42</v>
      </c>
      <c r="E20" s="362">
        <v>1.77</v>
      </c>
      <c r="F20" s="298"/>
      <c r="G20" s="268"/>
      <c r="H20" s="268"/>
      <c r="I20" s="248"/>
      <c r="J20" s="248"/>
      <c r="K20" s="268"/>
      <c r="L20" s="268"/>
      <c r="M20" s="268"/>
      <c r="N20" s="269"/>
      <c r="O20" s="269"/>
      <c r="P20" s="269"/>
      <c r="Q20" s="286"/>
      <c r="R20" s="286"/>
      <c r="S20" s="286"/>
      <c r="T20" s="286"/>
    </row>
    <row r="21" spans="1:20" s="286" customFormat="1" ht="33.75" customHeight="1" x14ac:dyDescent="0.2">
      <c r="A21" s="271" t="s">
        <v>50</v>
      </c>
      <c r="B21" s="276" t="s">
        <v>65</v>
      </c>
      <c r="C21" s="288" t="s">
        <v>160</v>
      </c>
      <c r="D21" s="277" t="s">
        <v>19</v>
      </c>
      <c r="E21" s="362">
        <v>9.69</v>
      </c>
      <c r="F21" s="270"/>
      <c r="G21" s="268"/>
      <c r="H21" s="268"/>
      <c r="I21" s="268"/>
      <c r="J21" s="268"/>
      <c r="K21" s="268"/>
      <c r="L21" s="268"/>
      <c r="M21" s="268"/>
      <c r="N21" s="269"/>
      <c r="O21" s="269"/>
      <c r="P21" s="269"/>
      <c r="Q21" s="270"/>
      <c r="R21" s="270"/>
      <c r="S21" s="270"/>
      <c r="T21" s="270"/>
    </row>
    <row r="22" spans="1:20" s="286" customFormat="1" ht="35.25" customHeight="1" x14ac:dyDescent="0.2">
      <c r="A22" s="290" t="s">
        <v>50</v>
      </c>
      <c r="B22" s="271" t="s">
        <v>30</v>
      </c>
      <c r="C22" s="273" t="s">
        <v>29</v>
      </c>
      <c r="D22" s="277" t="s">
        <v>20</v>
      </c>
      <c r="E22" s="362">
        <v>30.22</v>
      </c>
      <c r="F22" s="289"/>
      <c r="G22" s="279"/>
      <c r="H22" s="279"/>
      <c r="I22" s="279"/>
      <c r="J22" s="279"/>
      <c r="K22" s="279"/>
      <c r="L22" s="279"/>
      <c r="M22" s="279"/>
      <c r="N22" s="280"/>
      <c r="O22" s="280"/>
      <c r="P22" s="280"/>
      <c r="Q22" s="291"/>
      <c r="R22" s="291"/>
      <c r="S22" s="291"/>
      <c r="T22" s="291"/>
    </row>
    <row r="23" spans="1:20" s="270" customFormat="1" ht="72" customHeight="1" x14ac:dyDescent="0.2">
      <c r="A23" s="271" t="s">
        <v>50</v>
      </c>
      <c r="B23" s="297" t="s">
        <v>104</v>
      </c>
      <c r="C23" s="10" t="s">
        <v>282</v>
      </c>
      <c r="D23" s="277" t="s">
        <v>9</v>
      </c>
      <c r="E23" s="362">
        <v>350</v>
      </c>
      <c r="F23" s="289"/>
      <c r="G23" s="268"/>
      <c r="H23" s="268"/>
      <c r="I23" s="248"/>
      <c r="J23" s="248"/>
      <c r="K23" s="268"/>
      <c r="L23" s="268"/>
      <c r="M23" s="268"/>
      <c r="N23" s="269"/>
      <c r="O23" s="269"/>
      <c r="P23" s="269"/>
    </row>
    <row r="24" spans="1:20" s="295" customFormat="1" ht="59.25" customHeight="1" x14ac:dyDescent="0.2">
      <c r="A24" s="271" t="s">
        <v>50</v>
      </c>
      <c r="B24" s="292" t="s">
        <v>54</v>
      </c>
      <c r="C24" s="10" t="s">
        <v>56</v>
      </c>
      <c r="D24" s="277" t="s">
        <v>38</v>
      </c>
      <c r="E24" s="363">
        <v>34.79</v>
      </c>
      <c r="F24" s="270"/>
      <c r="G24" s="268"/>
      <c r="H24" s="268"/>
      <c r="I24" s="268"/>
      <c r="J24" s="268"/>
      <c r="K24" s="293"/>
      <c r="L24" s="293"/>
      <c r="M24" s="293"/>
      <c r="N24" s="294"/>
      <c r="O24" s="294"/>
      <c r="P24" s="294"/>
    </row>
    <row r="25" spans="1:20" s="286" customFormat="1" ht="32.25" customHeight="1" x14ac:dyDescent="0.2">
      <c r="A25" s="271" t="s">
        <v>50</v>
      </c>
      <c r="B25" s="284" t="s">
        <v>117</v>
      </c>
      <c r="C25" s="273" t="s">
        <v>276</v>
      </c>
      <c r="D25" s="277" t="s">
        <v>20</v>
      </c>
      <c r="E25" s="361">
        <v>5.74</v>
      </c>
      <c r="F25" s="285"/>
      <c r="G25" s="248"/>
      <c r="H25" s="248"/>
      <c r="I25" s="248"/>
      <c r="J25" s="248"/>
      <c r="K25" s="268"/>
      <c r="L25" s="268"/>
      <c r="M25" s="268"/>
      <c r="N25" s="269"/>
      <c r="O25" s="269"/>
      <c r="P25" s="269"/>
    </row>
    <row r="26" spans="1:20" s="270" customFormat="1" ht="31.5" customHeight="1" x14ac:dyDescent="0.2">
      <c r="A26" s="271" t="s">
        <v>50</v>
      </c>
      <c r="B26" s="287" t="s">
        <v>119</v>
      </c>
      <c r="C26" s="288" t="s">
        <v>277</v>
      </c>
      <c r="D26" s="274" t="s">
        <v>20</v>
      </c>
      <c r="E26" s="361">
        <v>29.49</v>
      </c>
      <c r="F26" s="289"/>
      <c r="G26" s="268"/>
      <c r="H26" s="268"/>
      <c r="I26" s="268"/>
      <c r="J26" s="268"/>
      <c r="K26" s="268"/>
      <c r="L26" s="268"/>
      <c r="M26" s="268"/>
      <c r="N26" s="269"/>
      <c r="O26" s="269"/>
      <c r="P26" s="269"/>
    </row>
    <row r="27" spans="1:20" ht="18.75" customHeight="1" x14ac:dyDescent="0.2">
      <c r="A27" s="276" t="s">
        <v>50</v>
      </c>
      <c r="B27" s="276" t="s">
        <v>61</v>
      </c>
      <c r="C27" s="10" t="s">
        <v>60</v>
      </c>
      <c r="D27" s="277" t="s">
        <v>19</v>
      </c>
      <c r="E27" s="362">
        <v>34.299999999999997</v>
      </c>
      <c r="F27" s="270"/>
      <c r="G27" s="268"/>
      <c r="H27" s="268"/>
      <c r="I27" s="268"/>
      <c r="J27" s="268"/>
    </row>
    <row r="28" spans="1:20" s="291" customFormat="1" ht="33.75" customHeight="1" x14ac:dyDescent="0.2">
      <c r="A28" s="271" t="s">
        <v>50</v>
      </c>
      <c r="B28" s="271" t="s">
        <v>86</v>
      </c>
      <c r="C28" s="273" t="s">
        <v>28</v>
      </c>
      <c r="D28" s="277" t="s">
        <v>20</v>
      </c>
      <c r="E28" s="362">
        <v>48.71</v>
      </c>
      <c r="G28" s="279"/>
      <c r="H28" s="279"/>
      <c r="I28" s="268"/>
      <c r="J28" s="268"/>
      <c r="K28" s="279"/>
      <c r="L28" s="279"/>
      <c r="M28" s="279"/>
      <c r="N28" s="280"/>
      <c r="O28" s="280"/>
      <c r="P28" s="280"/>
    </row>
    <row r="29" spans="1:20" ht="32.25" customHeight="1" x14ac:dyDescent="0.2">
      <c r="A29" s="271" t="s">
        <v>50</v>
      </c>
      <c r="B29" s="276" t="s">
        <v>52</v>
      </c>
      <c r="C29" s="10" t="s">
        <v>51</v>
      </c>
      <c r="D29" s="277" t="s">
        <v>53</v>
      </c>
      <c r="E29" s="364">
        <v>1.3</v>
      </c>
    </row>
    <row r="30" spans="1:20" s="270" customFormat="1" ht="48" customHeight="1" x14ac:dyDescent="0.2">
      <c r="A30" s="271" t="s">
        <v>50</v>
      </c>
      <c r="B30" s="276" t="s">
        <v>22</v>
      </c>
      <c r="C30" s="10" t="s">
        <v>274</v>
      </c>
      <c r="D30" s="277" t="s">
        <v>19</v>
      </c>
      <c r="E30" s="362">
        <v>7.16</v>
      </c>
      <c r="G30" s="268"/>
      <c r="H30" s="268"/>
      <c r="I30" s="268"/>
      <c r="J30" s="268"/>
      <c r="K30" s="268"/>
      <c r="L30" s="268"/>
      <c r="M30" s="268"/>
      <c r="N30" s="269"/>
      <c r="O30" s="269"/>
      <c r="P30" s="269"/>
    </row>
    <row r="31" spans="1:20" s="270" customFormat="1" ht="57.75" customHeight="1" x14ac:dyDescent="0.2">
      <c r="A31" s="271" t="s">
        <v>50</v>
      </c>
      <c r="B31" s="276" t="s">
        <v>24</v>
      </c>
      <c r="C31" s="10" t="s">
        <v>279</v>
      </c>
      <c r="D31" s="277" t="s">
        <v>19</v>
      </c>
      <c r="E31" s="362">
        <v>0.1</v>
      </c>
      <c r="G31" s="268"/>
      <c r="H31" s="268"/>
      <c r="I31" s="268"/>
      <c r="J31" s="268"/>
      <c r="K31" s="268"/>
      <c r="L31" s="268"/>
      <c r="M31" s="268"/>
      <c r="N31" s="269"/>
      <c r="O31" s="269"/>
      <c r="P31" s="269"/>
    </row>
    <row r="32" spans="1:20" s="270" customFormat="1" ht="75" customHeight="1" x14ac:dyDescent="0.2">
      <c r="A32" s="276" t="s">
        <v>50</v>
      </c>
      <c r="B32" s="276" t="s">
        <v>261</v>
      </c>
      <c r="C32" s="10" t="s">
        <v>272</v>
      </c>
      <c r="D32" s="277" t="s">
        <v>20</v>
      </c>
      <c r="E32" s="362">
        <v>31.63</v>
      </c>
      <c r="G32" s="268"/>
      <c r="H32" s="268"/>
      <c r="I32" s="268"/>
      <c r="J32" s="268"/>
      <c r="K32" s="268"/>
      <c r="L32" s="268"/>
      <c r="M32" s="268"/>
      <c r="N32" s="269"/>
      <c r="O32" s="269"/>
      <c r="P32" s="269"/>
    </row>
    <row r="33" spans="1:20" s="270" customFormat="1" ht="73.5" customHeight="1" x14ac:dyDescent="0.2">
      <c r="A33" s="276" t="s">
        <v>50</v>
      </c>
      <c r="B33" s="276" t="s">
        <v>264</v>
      </c>
      <c r="C33" s="10" t="s">
        <v>273</v>
      </c>
      <c r="D33" s="277" t="s">
        <v>20</v>
      </c>
      <c r="E33" s="362">
        <v>2.88</v>
      </c>
      <c r="G33" s="268"/>
      <c r="H33" s="268"/>
      <c r="I33" s="268"/>
      <c r="J33" s="268"/>
      <c r="K33" s="268"/>
      <c r="L33" s="268"/>
      <c r="M33" s="268"/>
      <c r="N33" s="269"/>
      <c r="O33" s="269"/>
      <c r="P33" s="269"/>
    </row>
    <row r="34" spans="1:20" s="270" customFormat="1" ht="45.75" customHeight="1" x14ac:dyDescent="0.2">
      <c r="A34" s="276" t="s">
        <v>50</v>
      </c>
      <c r="B34" s="276" t="s">
        <v>266</v>
      </c>
      <c r="C34" s="10" t="s">
        <v>267</v>
      </c>
      <c r="D34" s="277" t="s">
        <v>19</v>
      </c>
      <c r="E34" s="362">
        <v>27.28</v>
      </c>
      <c r="G34" s="268"/>
      <c r="H34" s="268"/>
      <c r="I34" s="268"/>
      <c r="J34" s="268"/>
      <c r="K34" s="268"/>
      <c r="L34" s="268"/>
      <c r="M34" s="268"/>
      <c r="N34" s="269"/>
      <c r="O34" s="269"/>
      <c r="P34" s="269"/>
    </row>
    <row r="35" spans="1:20" s="270" customFormat="1" ht="47.25" customHeight="1" x14ac:dyDescent="0.2">
      <c r="A35" s="276" t="s">
        <v>50</v>
      </c>
      <c r="B35" s="276" t="s">
        <v>268</v>
      </c>
      <c r="C35" s="10" t="s">
        <v>269</v>
      </c>
      <c r="D35" s="277" t="s">
        <v>19</v>
      </c>
      <c r="E35" s="362">
        <v>1.82</v>
      </c>
      <c r="G35" s="268"/>
      <c r="H35" s="268"/>
      <c r="I35" s="268"/>
      <c r="J35" s="268"/>
      <c r="K35" s="268"/>
      <c r="L35" s="268"/>
      <c r="M35" s="268"/>
      <c r="N35" s="269"/>
      <c r="O35" s="269"/>
      <c r="P35" s="269"/>
    </row>
    <row r="36" spans="1:20" ht="33" customHeight="1" x14ac:dyDescent="0.2">
      <c r="A36" s="271" t="s">
        <v>50</v>
      </c>
      <c r="B36" s="271" t="s">
        <v>80</v>
      </c>
      <c r="C36" s="10" t="s">
        <v>81</v>
      </c>
      <c r="D36" s="277" t="s">
        <v>20</v>
      </c>
      <c r="E36" s="364">
        <v>3.6</v>
      </c>
    </row>
    <row r="37" spans="1:20" s="270" customFormat="1" ht="48" customHeight="1" x14ac:dyDescent="0.2">
      <c r="A37" s="271" t="s">
        <v>50</v>
      </c>
      <c r="B37" s="276" t="s">
        <v>26</v>
      </c>
      <c r="C37" s="10" t="s">
        <v>78</v>
      </c>
      <c r="D37" s="277" t="s">
        <v>9</v>
      </c>
      <c r="E37" s="362">
        <v>172.5</v>
      </c>
      <c r="G37" s="268"/>
      <c r="H37" s="268"/>
      <c r="I37" s="268"/>
      <c r="J37" s="268"/>
      <c r="K37" s="268"/>
      <c r="L37" s="268"/>
      <c r="M37" s="268"/>
      <c r="N37" s="269"/>
      <c r="O37" s="269"/>
      <c r="P37" s="269"/>
    </row>
    <row r="38" spans="1:20" s="270" customFormat="1" ht="72" customHeight="1" x14ac:dyDescent="0.2">
      <c r="A38" s="271" t="s">
        <v>50</v>
      </c>
      <c r="B38" s="276" t="s">
        <v>27</v>
      </c>
      <c r="C38" s="10" t="s">
        <v>79</v>
      </c>
      <c r="D38" s="277" t="s">
        <v>9</v>
      </c>
      <c r="E38" s="362">
        <v>869.86</v>
      </c>
      <c r="G38" s="268"/>
      <c r="H38" s="268"/>
      <c r="I38" s="268"/>
      <c r="J38" s="268"/>
      <c r="K38" s="268"/>
      <c r="L38" s="268"/>
      <c r="M38" s="268"/>
      <c r="N38" s="269"/>
      <c r="O38" s="269"/>
      <c r="P38" s="269"/>
    </row>
    <row r="39" spans="1:20" s="270" customFormat="1" ht="46.5" customHeight="1" x14ac:dyDescent="0.2">
      <c r="A39" s="271" t="s">
        <v>50</v>
      </c>
      <c r="B39" s="276" t="s">
        <v>32</v>
      </c>
      <c r="C39" s="10" t="s">
        <v>33</v>
      </c>
      <c r="D39" s="277" t="s">
        <v>9</v>
      </c>
      <c r="E39" s="362">
        <v>345</v>
      </c>
      <c r="G39" s="268"/>
      <c r="H39" s="268"/>
      <c r="I39" s="268"/>
      <c r="J39" s="268"/>
      <c r="K39" s="268"/>
      <c r="L39" s="268"/>
      <c r="M39" s="268"/>
      <c r="N39" s="269"/>
      <c r="O39" s="269"/>
      <c r="P39" s="269"/>
    </row>
    <row r="40" spans="1:20" s="270" customFormat="1" ht="58.5" customHeight="1" x14ac:dyDescent="0.2">
      <c r="A40" s="271" t="s">
        <v>50</v>
      </c>
      <c r="B40" s="276" t="s">
        <v>34</v>
      </c>
      <c r="C40" s="10" t="s">
        <v>35</v>
      </c>
      <c r="D40" s="277" t="s">
        <v>9</v>
      </c>
      <c r="E40" s="362">
        <v>14.58</v>
      </c>
      <c r="G40" s="268"/>
      <c r="H40" s="268"/>
      <c r="I40" s="268"/>
      <c r="J40" s="268"/>
      <c r="K40" s="268"/>
      <c r="L40" s="268"/>
      <c r="M40" s="268"/>
      <c r="N40" s="269"/>
      <c r="O40" s="269"/>
      <c r="P40" s="269"/>
    </row>
    <row r="41" spans="1:20" s="291" customFormat="1" ht="160.5" customHeight="1" x14ac:dyDescent="0.2">
      <c r="A41" s="271" t="s">
        <v>50</v>
      </c>
      <c r="B41" s="271" t="s">
        <v>251</v>
      </c>
      <c r="C41" s="273" t="s">
        <v>293</v>
      </c>
      <c r="D41" s="277" t="s">
        <v>20</v>
      </c>
      <c r="E41" s="362">
        <v>499.49</v>
      </c>
      <c r="F41" s="270"/>
      <c r="G41" s="268"/>
      <c r="H41" s="268"/>
      <c r="I41" s="268"/>
      <c r="J41" s="268"/>
      <c r="K41" s="279"/>
      <c r="L41" s="279"/>
      <c r="M41" s="279"/>
      <c r="N41" s="280"/>
      <c r="O41" s="280"/>
      <c r="P41" s="280"/>
    </row>
    <row r="42" spans="1:20" s="291" customFormat="1" ht="30.75" customHeight="1" x14ac:dyDescent="0.2">
      <c r="A42" s="276" t="s">
        <v>50</v>
      </c>
      <c r="B42" s="276" t="s">
        <v>58</v>
      </c>
      <c r="C42" s="10" t="s">
        <v>59</v>
      </c>
      <c r="D42" s="277" t="s">
        <v>19</v>
      </c>
      <c r="E42" s="362">
        <v>20.239999999999998</v>
      </c>
      <c r="F42" s="270"/>
      <c r="G42" s="268"/>
      <c r="H42" s="268"/>
      <c r="I42" s="268"/>
      <c r="J42" s="268"/>
      <c r="K42" s="279"/>
      <c r="L42" s="279"/>
      <c r="M42" s="279"/>
      <c r="N42" s="280"/>
      <c r="O42" s="280"/>
      <c r="P42" s="280"/>
      <c r="Q42" s="278"/>
      <c r="R42" s="278"/>
      <c r="S42" s="278"/>
      <c r="T42" s="278"/>
    </row>
    <row r="43" spans="1:20" ht="19.5" customHeight="1" x14ac:dyDescent="0.2">
      <c r="A43" s="271" t="s">
        <v>50</v>
      </c>
      <c r="B43" s="271" t="s">
        <v>247</v>
      </c>
      <c r="C43" s="271" t="s">
        <v>248</v>
      </c>
      <c r="D43" s="371" t="s">
        <v>55</v>
      </c>
      <c r="E43" s="362">
        <v>34.549999999999997</v>
      </c>
      <c r="F43" s="285"/>
      <c r="G43" s="268"/>
      <c r="H43" s="268"/>
      <c r="I43" s="248"/>
      <c r="J43" s="248"/>
      <c r="K43" s="268"/>
      <c r="L43" s="268"/>
      <c r="M43" s="268"/>
      <c r="N43" s="269"/>
      <c r="O43" s="269"/>
      <c r="P43" s="269"/>
      <c r="Q43" s="286"/>
      <c r="R43" s="286"/>
      <c r="S43" s="286"/>
      <c r="T43" s="286"/>
    </row>
    <row r="44" spans="1:20" s="295" customFormat="1" ht="108.75" customHeight="1" x14ac:dyDescent="0.2">
      <c r="A44" s="271" t="s">
        <v>110</v>
      </c>
      <c r="B44" s="284" t="s">
        <v>114</v>
      </c>
      <c r="C44" s="273" t="s">
        <v>121</v>
      </c>
      <c r="D44" s="274" t="s">
        <v>20</v>
      </c>
      <c r="E44" s="361">
        <v>39.67</v>
      </c>
      <c r="F44" s="285"/>
      <c r="G44" s="268"/>
      <c r="H44" s="268"/>
      <c r="I44" s="248"/>
      <c r="J44" s="248"/>
      <c r="K44" s="268"/>
      <c r="L44" s="268"/>
      <c r="M44" s="268"/>
      <c r="N44" s="269"/>
      <c r="O44" s="269"/>
      <c r="P44" s="269"/>
      <c r="Q44" s="286"/>
      <c r="R44" s="286"/>
      <c r="S44" s="286"/>
      <c r="T44" s="286"/>
    </row>
    <row r="45" spans="1:20" s="270" customFormat="1" ht="123.75" customHeight="1" x14ac:dyDescent="0.2">
      <c r="A45" s="271" t="s">
        <v>110</v>
      </c>
      <c r="B45" s="284" t="s">
        <v>259</v>
      </c>
      <c r="C45" s="273" t="s">
        <v>275</v>
      </c>
      <c r="D45" s="274" t="s">
        <v>20</v>
      </c>
      <c r="E45" s="361">
        <v>195.25</v>
      </c>
      <c r="F45" s="285"/>
      <c r="G45" s="268"/>
      <c r="H45" s="268"/>
      <c r="I45" s="248"/>
      <c r="J45" s="248"/>
      <c r="K45" s="268"/>
      <c r="L45" s="268"/>
      <c r="M45" s="268"/>
      <c r="N45" s="269"/>
      <c r="O45" s="269"/>
      <c r="P45" s="269"/>
      <c r="Q45" s="286"/>
      <c r="R45" s="286"/>
      <c r="S45" s="286"/>
      <c r="T45" s="286"/>
    </row>
    <row r="46" spans="1:20" s="270" customFormat="1" ht="60" customHeight="1" x14ac:dyDescent="0.2">
      <c r="A46" s="271" t="s">
        <v>110</v>
      </c>
      <c r="B46" s="292" t="s">
        <v>278</v>
      </c>
      <c r="C46" s="10" t="s">
        <v>283</v>
      </c>
      <c r="D46" s="277" t="s">
        <v>38</v>
      </c>
      <c r="E46" s="363">
        <v>60.72</v>
      </c>
      <c r="F46" s="296"/>
      <c r="G46" s="268"/>
      <c r="H46" s="268"/>
      <c r="I46" s="268"/>
      <c r="J46" s="268"/>
      <c r="K46" s="293"/>
      <c r="L46" s="293"/>
      <c r="M46" s="293"/>
      <c r="N46" s="294"/>
      <c r="O46" s="294"/>
      <c r="P46" s="294"/>
      <c r="Q46" s="295"/>
      <c r="R46" s="295"/>
      <c r="S46" s="295"/>
      <c r="T46" s="295"/>
    </row>
    <row r="47" spans="1:20" s="295" customFormat="1" ht="57.75" customHeight="1" x14ac:dyDescent="0.2">
      <c r="A47" s="271" t="s">
        <v>110</v>
      </c>
      <c r="B47" s="292" t="s">
        <v>245</v>
      </c>
      <c r="C47" s="10" t="s">
        <v>284</v>
      </c>
      <c r="D47" s="277" t="s">
        <v>38</v>
      </c>
      <c r="E47" s="363">
        <v>0.01</v>
      </c>
      <c r="F47" s="270"/>
      <c r="G47" s="268"/>
      <c r="H47" s="268"/>
      <c r="I47" s="268"/>
      <c r="J47" s="268"/>
      <c r="K47" s="268"/>
      <c r="L47" s="268"/>
      <c r="M47" s="268"/>
      <c r="N47" s="269"/>
      <c r="O47" s="269"/>
      <c r="P47" s="269"/>
      <c r="Q47" s="270"/>
      <c r="R47" s="270"/>
      <c r="S47" s="270"/>
      <c r="T47" s="270"/>
    </row>
    <row r="48" spans="1:20" s="270" customFormat="1" ht="45" customHeight="1" x14ac:dyDescent="0.2">
      <c r="A48" s="271" t="s">
        <v>110</v>
      </c>
      <c r="B48" s="297" t="s">
        <v>113</v>
      </c>
      <c r="C48" s="10" t="s">
        <v>294</v>
      </c>
      <c r="D48" s="277" t="s">
        <v>38</v>
      </c>
      <c r="E48" s="362">
        <v>366.37</v>
      </c>
      <c r="F48" s="289"/>
      <c r="G48" s="268"/>
      <c r="H48" s="268"/>
      <c r="I48" s="248"/>
      <c r="J48" s="248"/>
      <c r="K48" s="268"/>
      <c r="L48" s="268"/>
      <c r="M48" s="268"/>
      <c r="N48" s="269"/>
      <c r="O48" s="269"/>
      <c r="P48" s="269"/>
    </row>
    <row r="49" spans="1:20" s="270" customFormat="1" ht="38.25" x14ac:dyDescent="0.2">
      <c r="A49" s="271" t="s">
        <v>95</v>
      </c>
      <c r="B49" s="276" t="s">
        <v>96</v>
      </c>
      <c r="C49" s="10" t="s">
        <v>280</v>
      </c>
      <c r="D49" s="277" t="s">
        <v>9</v>
      </c>
      <c r="E49" s="362">
        <v>213.22</v>
      </c>
      <c r="G49" s="268"/>
      <c r="H49" s="268"/>
      <c r="I49" s="268"/>
      <c r="J49" s="268"/>
      <c r="K49" s="268"/>
      <c r="L49" s="268"/>
      <c r="M49" s="268"/>
      <c r="N49" s="269"/>
      <c r="O49" s="269"/>
      <c r="P49" s="269"/>
    </row>
    <row r="50" spans="1:20" s="270" customFormat="1" ht="63.75" x14ac:dyDescent="0.2">
      <c r="A50" s="271" t="s">
        <v>95</v>
      </c>
      <c r="B50" s="276" t="s">
        <v>97</v>
      </c>
      <c r="C50" s="10" t="s">
        <v>281</v>
      </c>
      <c r="D50" s="277" t="s">
        <v>9</v>
      </c>
      <c r="E50" s="362">
        <v>150.55000000000001</v>
      </c>
      <c r="G50" s="268"/>
      <c r="H50" s="268"/>
      <c r="I50" s="268"/>
      <c r="J50" s="268"/>
      <c r="K50" s="268"/>
      <c r="L50" s="268"/>
      <c r="M50" s="268"/>
      <c r="N50" s="269"/>
      <c r="O50" s="269"/>
      <c r="P50" s="269"/>
    </row>
    <row r="51" spans="1:20" s="270" customFormat="1" ht="102" x14ac:dyDescent="0.2">
      <c r="A51" s="271" t="s">
        <v>95</v>
      </c>
      <c r="B51" s="297" t="s">
        <v>101</v>
      </c>
      <c r="C51" s="273" t="s">
        <v>100</v>
      </c>
      <c r="D51" s="277" t="s">
        <v>37</v>
      </c>
      <c r="E51" s="362">
        <v>398.16</v>
      </c>
      <c r="F51" s="289"/>
      <c r="G51" s="248"/>
      <c r="H51" s="248"/>
      <c r="I51" s="248"/>
      <c r="J51" s="248"/>
      <c r="K51" s="268"/>
      <c r="L51" s="268"/>
      <c r="M51" s="268"/>
      <c r="N51" s="269"/>
      <c r="O51" s="269"/>
      <c r="P51" s="269"/>
    </row>
    <row r="52" spans="1:20" s="291" customFormat="1" ht="306" x14ac:dyDescent="0.2">
      <c r="A52" s="271" t="s">
        <v>95</v>
      </c>
      <c r="B52" s="271" t="s">
        <v>145</v>
      </c>
      <c r="C52" s="273" t="s">
        <v>287</v>
      </c>
      <c r="D52" s="277" t="s">
        <v>20</v>
      </c>
      <c r="E52" s="362">
        <v>246.63</v>
      </c>
      <c r="G52" s="279"/>
      <c r="H52" s="279"/>
      <c r="I52" s="279"/>
      <c r="J52" s="279"/>
      <c r="K52" s="279"/>
      <c r="L52" s="279"/>
      <c r="M52" s="279"/>
      <c r="N52" s="280"/>
      <c r="O52" s="280"/>
      <c r="P52" s="280"/>
    </row>
    <row r="53" spans="1:20" s="291" customFormat="1" ht="46.5" customHeight="1" x14ac:dyDescent="0.2">
      <c r="A53" s="271" t="s">
        <v>95</v>
      </c>
      <c r="B53" s="276" t="s">
        <v>147</v>
      </c>
      <c r="C53" s="299" t="s">
        <v>288</v>
      </c>
      <c r="D53" s="277" t="s">
        <v>20</v>
      </c>
      <c r="E53" s="362">
        <v>18.54</v>
      </c>
      <c r="G53" s="279"/>
      <c r="H53" s="279"/>
      <c r="I53" s="279"/>
      <c r="J53" s="279"/>
      <c r="K53" s="279"/>
      <c r="L53" s="279"/>
      <c r="M53" s="279"/>
      <c r="N53" s="280"/>
      <c r="O53" s="280"/>
      <c r="P53" s="280"/>
    </row>
    <row r="54" spans="1:20" s="291" customFormat="1" ht="110.25" customHeight="1" x14ac:dyDescent="0.2">
      <c r="A54" s="300" t="s">
        <v>95</v>
      </c>
      <c r="B54" s="300" t="s">
        <v>150</v>
      </c>
      <c r="C54" s="288" t="s">
        <v>289</v>
      </c>
      <c r="D54" s="277" t="s">
        <v>20</v>
      </c>
      <c r="E54" s="362">
        <v>29.61</v>
      </c>
      <c r="G54" s="279"/>
      <c r="H54" s="279"/>
      <c r="I54" s="279"/>
      <c r="J54" s="279"/>
      <c r="K54" s="279"/>
      <c r="L54" s="279"/>
      <c r="M54" s="279"/>
      <c r="N54" s="280"/>
      <c r="O54" s="280"/>
      <c r="P54" s="280"/>
    </row>
    <row r="55" spans="1:20" s="291" customFormat="1" ht="30.75" customHeight="1" thickBot="1" x14ac:dyDescent="0.25">
      <c r="A55" s="427" t="s">
        <v>95</v>
      </c>
      <c r="B55" s="427" t="s">
        <v>291</v>
      </c>
      <c r="C55" s="428" t="s">
        <v>290</v>
      </c>
      <c r="D55" s="429" t="s">
        <v>20</v>
      </c>
      <c r="E55" s="430">
        <v>26.47</v>
      </c>
      <c r="G55" s="279"/>
      <c r="H55" s="279"/>
      <c r="I55" s="279"/>
      <c r="J55" s="279"/>
      <c r="K55" s="279"/>
      <c r="L55" s="279"/>
      <c r="M55" s="279"/>
      <c r="N55" s="280"/>
      <c r="O55" s="280"/>
      <c r="P55" s="280"/>
    </row>
    <row r="56" spans="1:20" s="279" customFormat="1" x14ac:dyDescent="0.2">
      <c r="A56" s="302"/>
      <c r="B56" s="303"/>
      <c r="C56" s="305"/>
      <c r="D56" s="304"/>
      <c r="E56" s="301"/>
      <c r="F56" s="278"/>
      <c r="N56" s="280"/>
      <c r="O56" s="280"/>
      <c r="P56" s="280"/>
      <c r="Q56" s="278"/>
      <c r="R56" s="278"/>
      <c r="S56" s="278"/>
      <c r="T56" s="278"/>
    </row>
    <row r="57" spans="1:20" s="279" customFormat="1" x14ac:dyDescent="0.2">
      <c r="A57" s="302"/>
      <c r="B57" s="303"/>
      <c r="C57" s="306"/>
      <c r="D57" s="304"/>
      <c r="E57" s="301"/>
      <c r="F57" s="278"/>
      <c r="N57" s="280"/>
      <c r="O57" s="280"/>
      <c r="P57" s="280"/>
      <c r="Q57" s="278"/>
      <c r="R57" s="278"/>
      <c r="S57" s="278"/>
      <c r="T57" s="278"/>
    </row>
    <row r="60" spans="1:20" s="279" customFormat="1" x14ac:dyDescent="0.2">
      <c r="A60" s="302"/>
      <c r="B60" s="303"/>
      <c r="C60" s="291"/>
      <c r="D60" s="304"/>
      <c r="E60" s="301"/>
      <c r="F60" s="307"/>
      <c r="N60" s="280"/>
      <c r="O60" s="280"/>
      <c r="P60" s="280"/>
      <c r="Q60" s="278"/>
      <c r="R60" s="278"/>
      <c r="S60" s="278"/>
      <c r="T60" s="278"/>
    </row>
    <row r="62" spans="1:20" s="279" customFormat="1" x14ac:dyDescent="0.2">
      <c r="A62" s="302"/>
      <c r="B62" s="303"/>
      <c r="C62" s="306"/>
      <c r="D62" s="304"/>
      <c r="E62" s="301"/>
      <c r="F62" s="278"/>
      <c r="N62" s="280"/>
      <c r="O62" s="280"/>
      <c r="P62" s="280"/>
      <c r="Q62" s="278"/>
      <c r="R62" s="278"/>
      <c r="S62" s="278"/>
      <c r="T62" s="278"/>
    </row>
  </sheetData>
  <sheetProtection formatCells="0" formatColumns="0" formatRows="0" insertColumns="0" insertRows="0" deleteColumns="0" deleteRows="0"/>
  <sortState xmlns:xlrd2="http://schemas.microsoft.com/office/spreadsheetml/2017/richdata2" ref="A44:T48">
    <sortCondition ref="B44:B48"/>
  </sortState>
  <printOptions horizontalCentered="1"/>
  <pageMargins left="0.39370078740157483" right="0.39370078740157483" top="0.39370078740157483" bottom="0.39370078740157483" header="0" footer="0"/>
  <pageSetup paperSize="9" scale="56" firstPageNumber="0" fitToHeight="15" orientation="portrait" cellComments="asDisplayed" r:id="rId1"/>
  <headerFooter alignWithMargins="0"/>
  <rowBreaks count="2" manualBreakCount="2">
    <brk id="32" max="4" man="1"/>
    <brk id="48" max="4" man="1"/>
  </row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7</vt:i4>
      </vt:variant>
    </vt:vector>
  </HeadingPairs>
  <TitlesOfParts>
    <vt:vector size="11" baseType="lpstr">
      <vt:lpstr>CME</vt:lpstr>
      <vt:lpstr>QR</vt:lpstr>
      <vt:lpstr>Abaco finestre</vt:lpstr>
      <vt:lpstr>PREZZI UNITARI</vt:lpstr>
      <vt:lpstr>CME!Area_stampa</vt:lpstr>
      <vt:lpstr>'PREZZI UNITARI'!Area_stampa</vt:lpstr>
      <vt:lpstr>QR!Area_stampa</vt:lpstr>
      <vt:lpstr>'PREZZI UNITARI'!Print_Area</vt:lpstr>
      <vt:lpstr>Print_Area</vt:lpstr>
      <vt:lpstr>CME!Titoli_stampa</vt:lpstr>
      <vt:lpstr>'PREZZI UNITARI'!Titoli_stampa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Alessio</dc:creator>
  <cp:lastModifiedBy>Utente</cp:lastModifiedBy>
  <cp:revision>1</cp:revision>
  <cp:lastPrinted>2022-07-13T07:58:38Z</cp:lastPrinted>
  <dcterms:created xsi:type="dcterms:W3CDTF">2005-04-13T09:41:56Z</dcterms:created>
  <dcterms:modified xsi:type="dcterms:W3CDTF">2022-07-13T08:01:47Z</dcterms:modified>
</cp:coreProperties>
</file>